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0.226.82.2\都民生活部\03_地域活動推進課\05_地域活動支援担当\01_地域の底力発展事業助成\2025年度\09_様式（電子申請フォーム含む）\1 要綱様式（一部要綱外様式あり）\2 スマホ\"/>
    </mc:Choice>
  </mc:AlternateContent>
  <xr:revisionPtr revIDLastSave="0" documentId="13_ncr:1_{26957F29-DFDC-419E-AB4A-8896849B9DB0}" xr6:coauthVersionLast="47" xr6:coauthVersionMax="47" xr10:uidLastSave="{00000000-0000-0000-0000-000000000000}"/>
  <bookViews>
    <workbookView xWindow="28680" yWindow="-120" windowWidth="29040" windowHeight="15720" xr2:uid="{00000000-000D-0000-FFFF-FFFF00000000}"/>
  </bookViews>
  <sheets>
    <sheet name="必ずお読みください" sheetId="16" r:id="rId1"/>
    <sheet name="入力フォーム" sheetId="5" r:id="rId2"/>
    <sheet name="第１－１号様式" sheetId="1" r:id="rId3"/>
    <sheet name="第１－１号様式別紙" sheetId="2" r:id="rId4"/>
    <sheet name="収支予算書" sheetId="6" r:id="rId5"/>
    <sheet name="変更申請入力フォーム" sheetId="14" r:id="rId6"/>
    <sheet name="第７号様式" sheetId="13" r:id="rId7"/>
    <sheet name="積算明細書" sheetId="15" r:id="rId8"/>
    <sheet name="実績入力フォーム" sheetId="12" r:id="rId9"/>
    <sheet name="第10－１号様式" sheetId="9" r:id="rId10"/>
    <sheet name="決算書" sheetId="7" r:id="rId11"/>
    <sheet name="実績報告内容確認書C区分" sheetId="10" r:id="rId12"/>
    <sheet name="実績報告内容確認書D区分" sheetId="11" r:id="rId13"/>
  </sheets>
  <definedNames>
    <definedName name="「地域防災力の強化」かつ「多文化共生社会づくり」につながる活動を行いますか" localSheetId="8">実績入力フォーム!#REF!</definedName>
    <definedName name="「地域防災力の強化」かつ「多文化共生社会づくり」につながる活動を行いますか" localSheetId="5">変更申請入力フォーム!#REF!</definedName>
    <definedName name="「地域防災力の強化」かつ「多文化共生社会づくり」につながる活動を行いますか">入力フォーム!#REF!</definedName>
    <definedName name="OLE_LINK15" localSheetId="9">'第10－１号様式'!$L$1</definedName>
    <definedName name="OLE_LINK15" localSheetId="2">'第１－１号様式'!$O$1</definedName>
    <definedName name="OLE_LINK15" localSheetId="6">第７号様式!$F$2</definedName>
    <definedName name="_xlnm.Print_Area" localSheetId="10">決算書!$A$2:$L$60</definedName>
    <definedName name="_xlnm.Print_Area" localSheetId="11">実績報告内容確認書C区分!$A$1:$M$37</definedName>
    <definedName name="_xlnm.Print_Area" localSheetId="4">収支予算書!$A$1:$J$64</definedName>
    <definedName name="_xlnm.Print_Area" localSheetId="7">積算明細書!$A$2:$O$43</definedName>
    <definedName name="_xlnm.Print_Area" localSheetId="9">'第10－１号様式'!$A$1:$L$44</definedName>
    <definedName name="_xlnm.Print_Area" localSheetId="2">'第１－１号様式'!$A$1:$O$89</definedName>
    <definedName name="_xlnm.Print_Area" localSheetId="3">'第１－１号様式別紙'!$A$1:$K$32</definedName>
    <definedName name="_xlnm.Print_Area" localSheetId="6">第７号様式!$A$1:$F$46</definedName>
    <definedName name="今回申請する区分は何ですか" localSheetId="8">実績入力フォーム!#REF!</definedName>
    <definedName name="今回申請する区分は何ですか" localSheetId="5">変更申請入力フォーム!#REF!</definedName>
    <definedName name="今回申請する区分は何ですか">入力フォーム!#REF!</definedName>
    <definedName name="今回申請する区分は初めてですか" localSheetId="8">実績入力フォーム!#REF!</definedName>
    <definedName name="今回申請する区分は初めてですか" localSheetId="5">変更申請入力フォーム!#REF!</definedName>
    <definedName name="今回申請する区分は初めてですか">入力フォーム!#REF!</definedName>
    <definedName name="助成率" localSheetId="8">実績入力フォーム!#REF!</definedName>
    <definedName name="助成率" localSheetId="5">変更申請入力フォーム!#REF!</definedName>
    <definedName name="助成率">入力フォーム!#REF!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4" l="1"/>
  <c r="A26" i="5"/>
  <c r="A25" i="5"/>
  <c r="A30" i="5"/>
  <c r="A29" i="5"/>
  <c r="A28" i="5"/>
  <c r="A27" i="5"/>
  <c r="A24" i="5"/>
  <c r="C29" i="14" l="1"/>
  <c r="C33" i="14"/>
  <c r="C37" i="14"/>
  <c r="C41" i="14"/>
  <c r="J68" i="1" l="1"/>
  <c r="A142" i="5"/>
  <c r="A140" i="5"/>
  <c r="A139" i="5"/>
  <c r="A138" i="5"/>
  <c r="A137" i="5"/>
  <c r="A136" i="5"/>
  <c r="A135" i="5"/>
  <c r="A134" i="5"/>
  <c r="A133" i="5"/>
  <c r="A132" i="5"/>
  <c r="A131" i="5"/>
  <c r="A130" i="5"/>
  <c r="A129" i="5"/>
  <c r="A128" i="5"/>
  <c r="A127" i="5"/>
  <c r="A126" i="5"/>
  <c r="A125" i="5"/>
  <c r="A124" i="5"/>
  <c r="A123" i="5"/>
  <c r="A122" i="5"/>
  <c r="A121" i="5"/>
  <c r="B139" i="5"/>
  <c r="F88" i="1"/>
  <c r="E141" i="5"/>
  <c r="A141" i="5" s="1"/>
  <c r="D140" i="5"/>
  <c r="J65" i="1" s="1"/>
  <c r="D138" i="5"/>
  <c r="E138" i="5" s="1"/>
  <c r="J64" i="1" s="1"/>
  <c r="E144" i="5"/>
  <c r="H88" i="1" s="1"/>
  <c r="J62" i="1" l="1"/>
  <c r="J63" i="1"/>
  <c r="J67" i="1"/>
  <c r="J66" i="1"/>
  <c r="A42" i="12" l="1"/>
  <c r="A128" i="12"/>
  <c r="A26" i="14"/>
  <c r="A60" i="14"/>
  <c r="A72" i="12"/>
  <c r="A160" i="5"/>
  <c r="A133" i="14"/>
  <c r="A212" i="5"/>
  <c r="A145" i="12"/>
  <c r="A154" i="14"/>
  <c r="A225" i="5"/>
  <c r="A162" i="12"/>
  <c r="A175" i="14"/>
  <c r="A238" i="5"/>
  <c r="A65" i="5"/>
  <c r="A60" i="5"/>
  <c r="A55" i="5"/>
  <c r="A50" i="5"/>
  <c r="A45" i="5"/>
  <c r="D38" i="9"/>
  <c r="A36" i="12" l="1"/>
  <c r="A35" i="12"/>
  <c r="A34" i="12"/>
  <c r="A33" i="12"/>
  <c r="A32" i="12"/>
  <c r="A31" i="12"/>
  <c r="B23" i="12"/>
  <c r="B22" i="12"/>
  <c r="J11" i="6" l="1"/>
  <c r="D265" i="5"/>
  <c r="D25" i="12" l="1"/>
  <c r="F31" i="9" s="1"/>
  <c r="C37" i="9"/>
  <c r="A188" i="12" l="1"/>
  <c r="B31" i="12"/>
  <c r="B32" i="12"/>
  <c r="A29" i="12"/>
  <c r="A147" i="5" l="1"/>
  <c r="I31" i="2"/>
  <c r="H31" i="2"/>
  <c r="F31" i="2"/>
  <c r="E31" i="2"/>
  <c r="D31" i="2"/>
  <c r="I30" i="2"/>
  <c r="H30" i="2"/>
  <c r="F30" i="2"/>
  <c r="E30" i="2"/>
  <c r="D30" i="2"/>
  <c r="I29" i="2"/>
  <c r="H29" i="2"/>
  <c r="F29" i="2"/>
  <c r="E29" i="2"/>
  <c r="D29" i="2"/>
  <c r="I28" i="2"/>
  <c r="H28" i="2"/>
  <c r="F28" i="2"/>
  <c r="E28" i="2"/>
  <c r="D28" i="2"/>
  <c r="I24" i="2"/>
  <c r="H24" i="2"/>
  <c r="I27" i="2"/>
  <c r="H27" i="2"/>
  <c r="F27" i="2"/>
  <c r="E27" i="2"/>
  <c r="D27" i="2"/>
  <c r="I26" i="2"/>
  <c r="H26" i="2"/>
  <c r="F26" i="2"/>
  <c r="E26" i="2"/>
  <c r="D26" i="2"/>
  <c r="I25" i="2"/>
  <c r="H25" i="2"/>
  <c r="F25" i="2"/>
  <c r="E25" i="2"/>
  <c r="D25" i="2"/>
  <c r="F24" i="2"/>
  <c r="E24" i="2"/>
  <c r="D24" i="2"/>
  <c r="B43" i="1" l="1"/>
  <c r="B22" i="5"/>
  <c r="D22" i="5" s="1"/>
  <c r="A21" i="5"/>
  <c r="B23" i="5"/>
  <c r="H27" i="11" l="1"/>
  <c r="B31" i="11"/>
  <c r="B27" i="11"/>
  <c r="B19" i="11"/>
  <c r="B27" i="10"/>
  <c r="H23" i="10"/>
  <c r="B23" i="10"/>
  <c r="F14" i="10"/>
  <c r="H23" i="11"/>
  <c r="H19" i="11"/>
  <c r="B23" i="11"/>
  <c r="B31" i="10"/>
  <c r="H27" i="10"/>
  <c r="H19" i="10"/>
  <c r="B19" i="10"/>
  <c r="F14" i="11"/>
  <c r="B41" i="1"/>
  <c r="B40" i="1"/>
  <c r="B39" i="1"/>
  <c r="B42" i="1"/>
  <c r="B24" i="2"/>
  <c r="A35" i="5"/>
  <c r="A78" i="5"/>
  <c r="A72" i="5"/>
  <c r="A70" i="5"/>
  <c r="A69" i="5"/>
  <c r="A68" i="5"/>
  <c r="A67" i="5"/>
  <c r="A73" i="5"/>
  <c r="A66" i="5"/>
  <c r="A75" i="5"/>
  <c r="A76" i="5"/>
  <c r="A74" i="5"/>
  <c r="A71" i="5"/>
  <c r="A77" i="5"/>
  <c r="A20" i="5"/>
  <c r="A19" i="5"/>
  <c r="H36" i="1" l="1"/>
  <c r="L15" i="1"/>
  <c r="D23" i="12" l="1"/>
  <c r="D22" i="12"/>
  <c r="F29" i="9" l="1"/>
  <c r="D122" i="5"/>
  <c r="D125" i="5"/>
  <c r="D128" i="5"/>
  <c r="D137" i="5"/>
  <c r="D135" i="5"/>
  <c r="D133" i="5"/>
  <c r="E50" i="1"/>
  <c r="D136" i="5"/>
  <c r="D134" i="5"/>
  <c r="D132" i="5" l="1"/>
  <c r="D127" i="5"/>
  <c r="E59" i="1" s="1"/>
  <c r="D124" i="5"/>
  <c r="E58" i="1" s="1"/>
  <c r="D121" i="5"/>
  <c r="E57" i="1" l="1"/>
  <c r="E56" i="1"/>
  <c r="E55" i="1"/>
  <c r="I52" i="1"/>
  <c r="E52" i="1"/>
  <c r="L18" i="1"/>
  <c r="L16" i="1"/>
  <c r="L11" i="1"/>
  <c r="L10" i="1"/>
  <c r="C71" i="1"/>
  <c r="C69" i="1"/>
  <c r="C67" i="1"/>
  <c r="C65" i="1"/>
  <c r="C64" i="1"/>
  <c r="C63" i="1"/>
  <c r="C62" i="1"/>
  <c r="B36" i="1"/>
  <c r="B129" i="5"/>
  <c r="B126" i="5"/>
  <c r="B123" i="5"/>
  <c r="B14" i="12" l="1"/>
  <c r="B13" i="12"/>
  <c r="B14" i="14"/>
  <c r="B13" i="14"/>
  <c r="E17" i="13" l="1"/>
  <c r="I15" i="9"/>
  <c r="A189" i="12"/>
  <c r="A186" i="12"/>
  <c r="A185" i="12"/>
  <c r="A184" i="12"/>
  <c r="A183" i="12"/>
  <c r="A182" i="12"/>
  <c r="A181" i="12"/>
  <c r="A180" i="12"/>
  <c r="A179" i="12"/>
  <c r="A173" i="12"/>
  <c r="A172" i="12"/>
  <c r="A171" i="12"/>
  <c r="A170" i="12"/>
  <c r="A169" i="12"/>
  <c r="A168" i="12"/>
  <c r="A167" i="12"/>
  <c r="A166" i="12"/>
  <c r="A165" i="12"/>
  <c r="A164" i="12"/>
  <c r="A163" i="12"/>
  <c r="A156" i="12"/>
  <c r="A155" i="12"/>
  <c r="A154" i="12"/>
  <c r="A153" i="12"/>
  <c r="A152" i="12"/>
  <c r="A151" i="12"/>
  <c r="A150" i="12"/>
  <c r="A149" i="12"/>
  <c r="A148" i="12"/>
  <c r="A147" i="12"/>
  <c r="A146" i="12"/>
  <c r="A139" i="12"/>
  <c r="A138" i="12"/>
  <c r="A137" i="12"/>
  <c r="A136" i="12"/>
  <c r="A135" i="12"/>
  <c r="A134" i="12"/>
  <c r="A133" i="12"/>
  <c r="A132" i="12"/>
  <c r="A131" i="12"/>
  <c r="A130" i="12"/>
  <c r="A129" i="12"/>
  <c r="A122" i="12"/>
  <c r="A121" i="12"/>
  <c r="A120" i="12"/>
  <c r="A119" i="12"/>
  <c r="A118" i="12"/>
  <c r="A117" i="12"/>
  <c r="A116" i="12"/>
  <c r="A115" i="12"/>
  <c r="A114" i="12"/>
  <c r="A113" i="12"/>
  <c r="A112" i="12"/>
  <c r="A111" i="12"/>
  <c r="A110" i="12"/>
  <c r="A109" i="12"/>
  <c r="A108" i="12"/>
  <c r="A107" i="12"/>
  <c r="A106" i="12"/>
  <c r="A105" i="12"/>
  <c r="A104" i="12"/>
  <c r="A103" i="12"/>
  <c r="A102" i="12"/>
  <c r="A101" i="12"/>
  <c r="A100" i="12"/>
  <c r="A99" i="12"/>
  <c r="A98" i="12"/>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53" i="12"/>
  <c r="A52" i="12"/>
  <c r="A51" i="12"/>
  <c r="A50" i="12"/>
  <c r="A49" i="12"/>
  <c r="A48" i="12"/>
  <c r="A47" i="12"/>
  <c r="A46" i="12"/>
  <c r="A45" i="12"/>
  <c r="A44" i="12"/>
  <c r="A43" i="12"/>
  <c r="A207" i="14" l="1"/>
  <c r="A206" i="14"/>
  <c r="A205" i="14"/>
  <c r="A204" i="14"/>
  <c r="A203" i="14"/>
  <c r="A202" i="14"/>
  <c r="A201" i="14"/>
  <c r="A200" i="14"/>
  <c r="A199" i="14"/>
  <c r="A198" i="14"/>
  <c r="A197" i="14"/>
  <c r="A196" i="14"/>
  <c r="A190" i="14"/>
  <c r="A189" i="14"/>
  <c r="A188" i="14"/>
  <c r="A187" i="14"/>
  <c r="A186" i="14"/>
  <c r="A185" i="14"/>
  <c r="A184" i="14"/>
  <c r="A183" i="14"/>
  <c r="A182" i="14"/>
  <c r="A181" i="14"/>
  <c r="A180" i="14"/>
  <c r="A179" i="14"/>
  <c r="A178" i="14"/>
  <c r="A177" i="14"/>
  <c r="A176" i="14"/>
  <c r="A169" i="14"/>
  <c r="A168" i="14"/>
  <c r="A167" i="14"/>
  <c r="A166" i="14"/>
  <c r="A165" i="14"/>
  <c r="A164" i="14"/>
  <c r="A163" i="14"/>
  <c r="A162" i="14"/>
  <c r="A161" i="14"/>
  <c r="A160" i="14"/>
  <c r="A159" i="14"/>
  <c r="A158" i="14"/>
  <c r="A157" i="14"/>
  <c r="A156" i="14"/>
  <c r="A155" i="14"/>
  <c r="A148" i="14"/>
  <c r="A147" i="14"/>
  <c r="A146" i="14"/>
  <c r="A145" i="14"/>
  <c r="A144" i="14"/>
  <c r="A143" i="14"/>
  <c r="A142" i="14"/>
  <c r="A141" i="14"/>
  <c r="A140" i="14"/>
  <c r="A139" i="14"/>
  <c r="A138" i="14"/>
  <c r="A137" i="14"/>
  <c r="A136" i="14"/>
  <c r="A135" i="14"/>
  <c r="A134" i="14"/>
  <c r="A41" i="14"/>
  <c r="A40" i="14"/>
  <c r="A39" i="14"/>
  <c r="A38" i="14"/>
  <c r="A37" i="14"/>
  <c r="A36" i="14"/>
  <c r="A35" i="14"/>
  <c r="A34" i="14"/>
  <c r="A33" i="14"/>
  <c r="A32" i="14"/>
  <c r="A31" i="14"/>
  <c r="A30" i="14"/>
  <c r="A29" i="14"/>
  <c r="A28" i="14"/>
  <c r="A27"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1" i="14"/>
  <c r="A67" i="14"/>
  <c r="A74" i="14"/>
  <c r="A70" i="14"/>
  <c r="A66" i="14"/>
  <c r="A73" i="14"/>
  <c r="A69" i="14"/>
  <c r="A65" i="14"/>
  <c r="A68" i="14"/>
  <c r="A72" i="14"/>
  <c r="A64" i="14"/>
  <c r="A63" i="14" l="1"/>
  <c r="A62" i="14"/>
  <c r="A61" i="14"/>
  <c r="A23" i="9" l="1"/>
  <c r="B109" i="12"/>
  <c r="A190" i="12"/>
  <c r="A178" i="12"/>
  <c r="A177" i="12"/>
  <c r="A176" i="12"/>
  <c r="A175" i="12"/>
  <c r="A161" i="12"/>
  <c r="A160" i="12"/>
  <c r="A159" i="12"/>
  <c r="A158" i="12"/>
  <c r="A144" i="12"/>
  <c r="A143" i="12"/>
  <c r="A142" i="12"/>
  <c r="A141" i="12"/>
  <c r="A127" i="12"/>
  <c r="A126" i="12"/>
  <c r="A125" i="12"/>
  <c r="A124" i="12"/>
  <c r="A71" i="12"/>
  <c r="A70" i="12"/>
  <c r="A69" i="12"/>
  <c r="A68" i="12"/>
  <c r="A67" i="12"/>
  <c r="A66" i="12"/>
  <c r="A65" i="12"/>
  <c r="A64" i="12"/>
  <c r="A63" i="12"/>
  <c r="A62" i="12"/>
  <c r="A61" i="12"/>
  <c r="A60" i="12"/>
  <c r="A59" i="12"/>
  <c r="A58" i="12"/>
  <c r="A57" i="12"/>
  <c r="A56" i="12"/>
  <c r="A55" i="12"/>
  <c r="A41" i="12"/>
  <c r="A40" i="12"/>
  <c r="A39" i="12"/>
  <c r="A38" i="12"/>
  <c r="B183" i="14"/>
  <c r="A211" i="14"/>
  <c r="A210" i="14"/>
  <c r="A209" i="14"/>
  <c r="A195" i="14"/>
  <c r="A194" i="14"/>
  <c r="A193" i="14"/>
  <c r="A192" i="14"/>
  <c r="A174" i="14"/>
  <c r="A173" i="14"/>
  <c r="A172" i="14"/>
  <c r="A171" i="14"/>
  <c r="A153" i="14"/>
  <c r="A152" i="14"/>
  <c r="A151" i="14"/>
  <c r="A150" i="14"/>
  <c r="A132" i="14"/>
  <c r="A131" i="14"/>
  <c r="A130" i="14"/>
  <c r="A129" i="14"/>
  <c r="A59" i="14"/>
  <c r="A58" i="14"/>
  <c r="A57" i="14"/>
  <c r="A56" i="14"/>
  <c r="A55" i="14"/>
  <c r="A54" i="14"/>
  <c r="A53" i="14"/>
  <c r="A52" i="14"/>
  <c r="A51" i="14"/>
  <c r="A50" i="14"/>
  <c r="A49" i="14"/>
  <c r="A48" i="14"/>
  <c r="A47" i="14"/>
  <c r="A46" i="14"/>
  <c r="A45" i="14"/>
  <c r="A44" i="14"/>
  <c r="A43" i="14"/>
  <c r="A25" i="14"/>
  <c r="A24" i="14"/>
  <c r="A23" i="14"/>
  <c r="A22" i="14"/>
  <c r="B31" i="14"/>
  <c r="A265" i="5" l="1"/>
  <c r="A264" i="5"/>
  <c r="A262" i="5"/>
  <c r="A261" i="5"/>
  <c r="A260" i="5"/>
  <c r="A259" i="5"/>
  <c r="A258" i="5"/>
  <c r="A257" i="5"/>
  <c r="A256" i="5"/>
  <c r="A255" i="5"/>
  <c r="A254" i="5"/>
  <c r="A253" i="5"/>
  <c r="A252" i="5"/>
  <c r="A251" i="5"/>
  <c r="A249" i="5"/>
  <c r="A248" i="5"/>
  <c r="A247" i="5"/>
  <c r="A246" i="5"/>
  <c r="A245" i="5"/>
  <c r="A244" i="5"/>
  <c r="A243" i="5"/>
  <c r="A242" i="5"/>
  <c r="A241" i="5"/>
  <c r="A240" i="5"/>
  <c r="A239" i="5"/>
  <c r="A236" i="5"/>
  <c r="A235" i="5"/>
  <c r="A234" i="5"/>
  <c r="A233" i="5"/>
  <c r="A232" i="5"/>
  <c r="A231" i="5"/>
  <c r="A230" i="5"/>
  <c r="A229" i="5"/>
  <c r="A228" i="5"/>
  <c r="A227" i="5"/>
  <c r="A226" i="5"/>
  <c r="A223" i="5"/>
  <c r="A222" i="5"/>
  <c r="A221" i="5"/>
  <c r="A220" i="5"/>
  <c r="A219" i="5"/>
  <c r="A218" i="5"/>
  <c r="A217" i="5"/>
  <c r="A216" i="5"/>
  <c r="A215" i="5"/>
  <c r="A214" i="5"/>
  <c r="A213"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58" i="5"/>
  <c r="A157" i="5"/>
  <c r="A156" i="5"/>
  <c r="A155" i="5"/>
  <c r="A154" i="5"/>
  <c r="A153" i="5"/>
  <c r="A152" i="5"/>
  <c r="A151" i="5"/>
  <c r="A150" i="5"/>
  <c r="A149" i="5"/>
  <c r="A148" i="5"/>
  <c r="F18" i="1" l="1"/>
  <c r="F15" i="1"/>
  <c r="F17" i="1"/>
  <c r="F16" i="1"/>
  <c r="A24" i="13"/>
  <c r="C36" i="9"/>
  <c r="F12" i="1" l="1"/>
  <c r="F11" i="1"/>
  <c r="F10" i="1"/>
  <c r="B108" i="14" l="1"/>
  <c r="B70" i="14"/>
  <c r="B32" i="14"/>
  <c r="B30" i="14"/>
  <c r="B34" i="14"/>
  <c r="B35" i="14"/>
  <c r="B36" i="14"/>
  <c r="B38" i="14"/>
  <c r="B39" i="14"/>
  <c r="B40" i="14"/>
  <c r="B266" i="5" l="1"/>
  <c r="B36" i="12" l="1"/>
  <c r="B35" i="12"/>
  <c r="B34" i="12"/>
  <c r="B33" i="12"/>
  <c r="D18" i="12" l="1"/>
  <c r="C190" i="14" l="1"/>
  <c r="C186" i="14"/>
  <c r="C169" i="14"/>
  <c r="C165" i="14"/>
  <c r="C157" i="14"/>
  <c r="C148" i="14"/>
  <c r="C144" i="14"/>
  <c r="C140" i="14"/>
  <c r="C136" i="14"/>
  <c r="C127" i="14"/>
  <c r="C123" i="14"/>
  <c r="C119" i="14"/>
  <c r="C115" i="14"/>
  <c r="C111" i="14"/>
  <c r="C107" i="14"/>
  <c r="C103" i="14"/>
  <c r="C99" i="14"/>
  <c r="C95" i="14"/>
  <c r="C91" i="14"/>
  <c r="C87" i="14"/>
  <c r="C83" i="14"/>
  <c r="C79" i="14"/>
  <c r="C63" i="14"/>
  <c r="O41" i="15"/>
  <c r="O40" i="15"/>
  <c r="O39" i="15"/>
  <c r="O38" i="15"/>
  <c r="O37" i="15"/>
  <c r="O36" i="15"/>
  <c r="O35" i="15"/>
  <c r="O34" i="15"/>
  <c r="O33" i="15"/>
  <c r="O32" i="15"/>
  <c r="O31" i="15"/>
  <c r="O30" i="15"/>
  <c r="O29" i="15" l="1"/>
  <c r="O28" i="15"/>
  <c r="O27" i="15"/>
  <c r="O26" i="15"/>
  <c r="O25" i="15"/>
  <c r="O24" i="15"/>
  <c r="O23" i="15"/>
  <c r="O22" i="15"/>
  <c r="O21" i="15"/>
  <c r="O20" i="15"/>
  <c r="O19" i="15"/>
  <c r="O18" i="15"/>
  <c r="O17" i="15"/>
  <c r="O16" i="15"/>
  <c r="O15" i="15"/>
  <c r="O14" i="15"/>
  <c r="O13" i="15"/>
  <c r="O12" i="15"/>
  <c r="O11" i="15"/>
  <c r="O10" i="15"/>
  <c r="O9" i="15"/>
  <c r="B207" i="14" l="1"/>
  <c r="B189" i="14"/>
  <c r="B185" i="14"/>
  <c r="B181" i="14"/>
  <c r="B168" i="14"/>
  <c r="B164" i="14"/>
  <c r="B160" i="14"/>
  <c r="B147" i="14"/>
  <c r="B143" i="14"/>
  <c r="B139" i="14"/>
  <c r="B126" i="14"/>
  <c r="B122" i="14"/>
  <c r="B118" i="14"/>
  <c r="B114" i="14"/>
  <c r="B110" i="14"/>
  <c r="B106" i="14"/>
  <c r="B102" i="14"/>
  <c r="B98" i="14"/>
  <c r="B94" i="14"/>
  <c r="B90" i="14"/>
  <c r="B86" i="14"/>
  <c r="B74" i="14"/>
  <c r="B206" i="14"/>
  <c r="B188" i="14"/>
  <c r="B184" i="14"/>
  <c r="B180" i="14"/>
  <c r="B167" i="14"/>
  <c r="B163" i="14"/>
  <c r="B159" i="14"/>
  <c r="B146" i="14"/>
  <c r="B142" i="14"/>
  <c r="B138" i="14"/>
  <c r="B125" i="14"/>
  <c r="B121" i="14"/>
  <c r="B117" i="14"/>
  <c r="B116" i="14"/>
  <c r="B113" i="14"/>
  <c r="B109" i="14"/>
  <c r="B105" i="14"/>
  <c r="B104" i="14"/>
  <c r="B101" i="14"/>
  <c r="B97" i="14"/>
  <c r="B93" i="14"/>
  <c r="B89" i="14"/>
  <c r="B85" i="14"/>
  <c r="B73" i="14"/>
  <c r="B69" i="14"/>
  <c r="D206" i="14" l="1"/>
  <c r="B40" i="13"/>
  <c r="B44" i="13"/>
  <c r="B36" i="13"/>
  <c r="B211" i="14" l="1"/>
  <c r="B205" i="14"/>
  <c r="B187" i="14"/>
  <c r="B179" i="14"/>
  <c r="B166" i="14"/>
  <c r="B162" i="14"/>
  <c r="B158" i="14"/>
  <c r="B145" i="14"/>
  <c r="B141" i="14"/>
  <c r="B137" i="14"/>
  <c r="B124" i="14"/>
  <c r="B120" i="14"/>
  <c r="B112" i="14"/>
  <c r="B100" i="14"/>
  <c r="B96" i="14"/>
  <c r="B92" i="14"/>
  <c r="B88" i="14"/>
  <c r="B84" i="14"/>
  <c r="B72" i="14"/>
  <c r="B68" i="14"/>
  <c r="B16" i="14"/>
  <c r="E19" i="13" s="1"/>
  <c r="B15" i="14"/>
  <c r="C19" i="13" s="1"/>
  <c r="B12" i="14"/>
  <c r="C18" i="13" s="1"/>
  <c r="B11" i="14"/>
  <c r="C17" i="13" s="1"/>
  <c r="B10" i="14"/>
  <c r="E16" i="13" s="1"/>
  <c r="B9" i="14"/>
  <c r="C16" i="13" s="1"/>
  <c r="B8" i="14"/>
  <c r="E12" i="13" s="1"/>
  <c r="B7" i="14"/>
  <c r="B6" i="14"/>
  <c r="B5" i="14"/>
  <c r="C13" i="13" s="1"/>
  <c r="B4" i="14"/>
  <c r="C12" i="13" s="1"/>
  <c r="B3" i="14"/>
  <c r="B212" i="14" s="1"/>
  <c r="B2" i="14"/>
  <c r="B11" i="12"/>
  <c r="E15" i="9" s="1"/>
  <c r="B4" i="12"/>
  <c r="E10" i="9" s="1"/>
  <c r="B5" i="12"/>
  <c r="E11" i="9" s="1"/>
  <c r="B12" i="12"/>
  <c r="E16" i="9" s="1"/>
  <c r="C11" i="13" l="1"/>
  <c r="L3" i="15"/>
  <c r="E11" i="13"/>
  <c r="L49" i="7"/>
  <c r="L48" i="7"/>
  <c r="L47" i="7"/>
  <c r="L46" i="7"/>
  <c r="L45" i="7"/>
  <c r="L44" i="7"/>
  <c r="L43" i="7"/>
  <c r="L42" i="7"/>
  <c r="L41" i="7"/>
  <c r="L40" i="7"/>
  <c r="L39" i="7"/>
  <c r="L38" i="7"/>
  <c r="L37" i="7"/>
  <c r="L36" i="7"/>
  <c r="L35" i="7"/>
  <c r="L34" i="7"/>
  <c r="L33" i="7"/>
  <c r="L32" i="7"/>
  <c r="L31" i="7"/>
  <c r="L30" i="7"/>
  <c r="L29" i="7"/>
  <c r="L28" i="7"/>
  <c r="L27" i="7"/>
  <c r="L26" i="7"/>
  <c r="L25" i="7"/>
  <c r="L24" i="7"/>
  <c r="L23" i="7"/>
  <c r="L22" i="7"/>
  <c r="L21" i="7"/>
  <c r="L20" i="7"/>
  <c r="L19" i="7"/>
  <c r="L18" i="7"/>
  <c r="L17" i="7"/>
  <c r="B190" i="12" l="1"/>
  <c r="K11" i="7" s="1"/>
  <c r="B186" i="12"/>
  <c r="K54" i="7" s="1"/>
  <c r="B172" i="12"/>
  <c r="B171" i="12"/>
  <c r="I49" i="7" s="1"/>
  <c r="B169" i="12"/>
  <c r="B168" i="12"/>
  <c r="I48" i="7" s="1"/>
  <c r="B166" i="12"/>
  <c r="B165" i="12"/>
  <c r="I47" i="7" s="1"/>
  <c r="B155" i="12"/>
  <c r="B154" i="12"/>
  <c r="I45" i="7" s="1"/>
  <c r="B152" i="12"/>
  <c r="B151" i="12"/>
  <c r="I44" i="7" s="1"/>
  <c r="B138" i="12"/>
  <c r="B137" i="12"/>
  <c r="I41" i="7" s="1"/>
  <c r="B135" i="12"/>
  <c r="B134" i="12"/>
  <c r="I40" i="7" s="1"/>
  <c r="B132" i="12"/>
  <c r="B131" i="12"/>
  <c r="I39" i="7" s="1"/>
  <c r="B121" i="12"/>
  <c r="B120" i="12"/>
  <c r="I37" i="7" s="1"/>
  <c r="B118" i="12"/>
  <c r="B117" i="12"/>
  <c r="I36" i="7" s="1"/>
  <c r="B115" i="12"/>
  <c r="B114" i="12"/>
  <c r="I35" i="7" s="1"/>
  <c r="B112" i="12"/>
  <c r="B111" i="12"/>
  <c r="I34" i="7" s="1"/>
  <c r="B108" i="12"/>
  <c r="I33" i="7" s="1"/>
  <c r="B106" i="12"/>
  <c r="B103" i="12"/>
  <c r="B102" i="12"/>
  <c r="I31" i="7" s="1"/>
  <c r="B100" i="12"/>
  <c r="B99" i="12"/>
  <c r="I30" i="7" s="1"/>
  <c r="B97" i="12"/>
  <c r="B96" i="12"/>
  <c r="I29" i="7" s="1"/>
  <c r="B94" i="12"/>
  <c r="B93" i="12"/>
  <c r="I28" i="7" s="1"/>
  <c r="B91" i="12"/>
  <c r="B90" i="12"/>
  <c r="I27" i="7" s="1"/>
  <c r="B82" i="12"/>
  <c r="B81" i="12"/>
  <c r="I24" i="7" s="1"/>
  <c r="B52" i="12"/>
  <c r="B51" i="12"/>
  <c r="I20" i="7" s="1"/>
  <c r="B49" i="12"/>
  <c r="B48" i="12"/>
  <c r="I19" i="7" s="1"/>
  <c r="A34" i="5"/>
  <c r="A33" i="5"/>
  <c r="A32" i="5"/>
  <c r="A31" i="5"/>
  <c r="A40" i="5" l="1"/>
  <c r="A30" i="12"/>
  <c r="K48" i="7"/>
  <c r="K39" i="7"/>
  <c r="K40" i="7"/>
  <c r="K27" i="7"/>
  <c r="K28" i="7"/>
  <c r="K29" i="7"/>
  <c r="K30" i="7"/>
  <c r="K31" i="7"/>
  <c r="K32" i="7"/>
  <c r="K33" i="7"/>
  <c r="K34" i="7"/>
  <c r="K35" i="7"/>
  <c r="K36" i="7"/>
  <c r="K37" i="7"/>
  <c r="K20" i="7"/>
  <c r="K24" i="7"/>
  <c r="A36" i="5"/>
  <c r="A84" i="5" s="1"/>
  <c r="K41" i="7"/>
  <c r="K19" i="7"/>
  <c r="K45" i="7"/>
  <c r="K47" i="7"/>
  <c r="K49" i="7"/>
  <c r="K44" i="7"/>
  <c r="J3" i="7"/>
  <c r="A79" i="5" l="1"/>
  <c r="A81" i="5"/>
  <c r="A83" i="5"/>
  <c r="A82" i="5"/>
  <c r="A80" i="5"/>
  <c r="A37" i="5"/>
  <c r="A39" i="5"/>
  <c r="A38" i="5"/>
  <c r="F33" i="9" l="1"/>
  <c r="C156" i="5" l="1"/>
  <c r="C153" i="5"/>
  <c r="C150" i="5"/>
  <c r="C147" i="5"/>
  <c r="C247" i="5"/>
  <c r="C244" i="5"/>
  <c r="C241" i="5"/>
  <c r="C238" i="5"/>
  <c r="C234" i="5"/>
  <c r="C231" i="5"/>
  <c r="C228" i="5"/>
  <c r="C225" i="5"/>
  <c r="C221" i="5"/>
  <c r="C218" i="5"/>
  <c r="C215" i="5"/>
  <c r="C212" i="5"/>
  <c r="C208" i="5"/>
  <c r="C205" i="5"/>
  <c r="C202" i="5"/>
  <c r="C199" i="5"/>
  <c r="C196" i="5"/>
  <c r="C193" i="5"/>
  <c r="C190" i="5"/>
  <c r="C187" i="5"/>
  <c r="C184" i="5"/>
  <c r="C181" i="5"/>
  <c r="C178" i="5"/>
  <c r="C175" i="5"/>
  <c r="C172" i="5"/>
  <c r="C169" i="5"/>
  <c r="C160" i="5"/>
  <c r="C163" i="5"/>
  <c r="C166" i="5"/>
  <c r="B30" i="12" l="1"/>
  <c r="B16" i="12"/>
  <c r="I17" i="9" s="1"/>
  <c r="B15" i="12"/>
  <c r="E17" i="9" s="1"/>
  <c r="B10" i="12"/>
  <c r="I14" i="9" s="1"/>
  <c r="B9" i="12"/>
  <c r="E14" i="9" s="1"/>
  <c r="B8" i="12"/>
  <c r="I10" i="9" s="1"/>
  <c r="B7" i="12"/>
  <c r="B6" i="12"/>
  <c r="B3" i="12"/>
  <c r="B191" i="12" s="1"/>
  <c r="B2" i="12"/>
  <c r="E9" i="9" s="1"/>
  <c r="A64" i="5"/>
  <c r="A63" i="5"/>
  <c r="A62" i="5"/>
  <c r="A61" i="5"/>
  <c r="A114" i="5" s="1"/>
  <c r="A59" i="5"/>
  <c r="A58" i="5"/>
  <c r="A57" i="5"/>
  <c r="A56" i="5"/>
  <c r="A108" i="5" s="1"/>
  <c r="A54" i="5"/>
  <c r="A53" i="5"/>
  <c r="A52" i="5"/>
  <c r="A51" i="5"/>
  <c r="A102" i="5" s="1"/>
  <c r="A49" i="5"/>
  <c r="A48" i="5"/>
  <c r="A47" i="5"/>
  <c r="A46" i="5"/>
  <c r="A96" i="5" s="1"/>
  <c r="A44" i="5"/>
  <c r="A43" i="5"/>
  <c r="A42" i="5"/>
  <c r="A41" i="5"/>
  <c r="A90" i="5" s="1"/>
  <c r="I9" i="9" l="1"/>
  <c r="A113" i="5"/>
  <c r="A112" i="5"/>
  <c r="A110" i="5"/>
  <c r="A111" i="5"/>
  <c r="A109" i="5"/>
  <c r="A94" i="5"/>
  <c r="A91" i="5"/>
  <c r="A93" i="5"/>
  <c r="A92" i="5"/>
  <c r="A95" i="5"/>
  <c r="A101" i="5"/>
  <c r="A100" i="5"/>
  <c r="A98" i="5"/>
  <c r="A99" i="5"/>
  <c r="A97" i="5"/>
  <c r="A89" i="5"/>
  <c r="A88" i="5"/>
  <c r="A87" i="5"/>
  <c r="A85" i="5"/>
  <c r="A86" i="5"/>
  <c r="A105" i="5"/>
  <c r="A106" i="5"/>
  <c r="A107" i="5"/>
  <c r="A103" i="5"/>
  <c r="A104" i="5"/>
  <c r="G17" i="6" l="1"/>
  <c r="B26" i="14" l="1"/>
  <c r="G9" i="15" s="1"/>
  <c r="G17" i="7"/>
  <c r="B42" i="12"/>
  <c r="I17" i="7" s="1"/>
  <c r="H11" i="7"/>
  <c r="I17" i="6"/>
  <c r="G11" i="6"/>
  <c r="B210" i="14" s="1"/>
  <c r="B28" i="14" l="1"/>
  <c r="I9" i="15"/>
  <c r="G11" i="7"/>
  <c r="B189" i="12"/>
  <c r="I11" i="7" s="1"/>
  <c r="I54" i="6"/>
  <c r="I53" i="6"/>
  <c r="B204" i="14" s="1"/>
  <c r="I52" i="6"/>
  <c r="B201" i="14" s="1"/>
  <c r="I51" i="6"/>
  <c r="B198" i="14" s="1"/>
  <c r="H54" i="6"/>
  <c r="H53" i="6"/>
  <c r="H52" i="6"/>
  <c r="H51" i="6"/>
  <c r="G54" i="6"/>
  <c r="G54" i="7" s="1"/>
  <c r="G53" i="6"/>
  <c r="B202" i="14" s="1"/>
  <c r="G52" i="6"/>
  <c r="B199" i="14" s="1"/>
  <c r="G51" i="6"/>
  <c r="B196" i="14" s="1"/>
  <c r="I49" i="6"/>
  <c r="I41" i="15" s="1"/>
  <c r="I48" i="6"/>
  <c r="I40" i="15" s="1"/>
  <c r="I47" i="6"/>
  <c r="I39" i="15" s="1"/>
  <c r="I46" i="6"/>
  <c r="I38" i="15" s="1"/>
  <c r="H49" i="6"/>
  <c r="H41" i="15" s="1"/>
  <c r="H48" i="6"/>
  <c r="H40" i="15" s="1"/>
  <c r="H47" i="6"/>
  <c r="H39" i="15" s="1"/>
  <c r="H46" i="6"/>
  <c r="G49" i="6"/>
  <c r="G41" i="15" s="1"/>
  <c r="G48" i="6"/>
  <c r="G40" i="15" s="1"/>
  <c r="G47" i="6"/>
  <c r="G46" i="6"/>
  <c r="I45" i="6"/>
  <c r="I37" i="15" s="1"/>
  <c r="I44" i="6"/>
  <c r="I36" i="15" s="1"/>
  <c r="I43" i="6"/>
  <c r="I35" i="15" s="1"/>
  <c r="I42" i="6"/>
  <c r="I34" i="15" s="1"/>
  <c r="I41" i="6"/>
  <c r="I33" i="15" s="1"/>
  <c r="H45" i="6"/>
  <c r="H37" i="15" s="1"/>
  <c r="H44" i="6"/>
  <c r="H36" i="15" s="1"/>
  <c r="H43" i="6"/>
  <c r="H35" i="15" s="1"/>
  <c r="H42" i="6"/>
  <c r="H34" i="15" s="1"/>
  <c r="H41" i="6"/>
  <c r="H33" i="15" s="1"/>
  <c r="G45" i="6"/>
  <c r="G37" i="15" s="1"/>
  <c r="G44" i="6"/>
  <c r="G36" i="15" s="1"/>
  <c r="G43" i="6"/>
  <c r="G35" i="15" s="1"/>
  <c r="G42" i="6"/>
  <c r="G41" i="6"/>
  <c r="G33" i="15" s="1"/>
  <c r="H37" i="6"/>
  <c r="H29" i="15" s="1"/>
  <c r="H36" i="6"/>
  <c r="H28" i="15" s="1"/>
  <c r="H35" i="6"/>
  <c r="H27" i="15" s="1"/>
  <c r="H34" i="6"/>
  <c r="H26" i="15" s="1"/>
  <c r="H33" i="6"/>
  <c r="H25" i="15" s="1"/>
  <c r="H32" i="6"/>
  <c r="H24" i="15" s="1"/>
  <c r="H31" i="6"/>
  <c r="H23" i="15" s="1"/>
  <c r="H30" i="6"/>
  <c r="H22" i="15" s="1"/>
  <c r="H29" i="6"/>
  <c r="H21" i="15" s="1"/>
  <c r="H28" i="6"/>
  <c r="H20" i="15" s="1"/>
  <c r="H27" i="6"/>
  <c r="H19" i="15" s="1"/>
  <c r="H26" i="6"/>
  <c r="H25" i="6"/>
  <c r="H17" i="15" s="1"/>
  <c r="H24" i="6"/>
  <c r="H16" i="15" s="1"/>
  <c r="H23" i="6"/>
  <c r="H15" i="15" s="1"/>
  <c r="H22" i="6"/>
  <c r="H14" i="15" s="1"/>
  <c r="H21" i="6"/>
  <c r="H13" i="15" s="1"/>
  <c r="H20" i="6"/>
  <c r="H12" i="15" s="1"/>
  <c r="H19" i="6"/>
  <c r="H11" i="15" s="1"/>
  <c r="H18" i="6"/>
  <c r="H10" i="15" s="1"/>
  <c r="H17" i="6"/>
  <c r="H40" i="6"/>
  <c r="H32" i="15" s="1"/>
  <c r="H39" i="6"/>
  <c r="H31" i="15" s="1"/>
  <c r="H38" i="6"/>
  <c r="H30" i="15" s="1"/>
  <c r="I39" i="6"/>
  <c r="I31" i="15" s="1"/>
  <c r="I38" i="6"/>
  <c r="I30" i="15" s="1"/>
  <c r="B175" i="14" l="1"/>
  <c r="G38" i="15" s="1"/>
  <c r="C182" i="14"/>
  <c r="G39" i="15"/>
  <c r="B176" i="14"/>
  <c r="H38" i="15"/>
  <c r="B27" i="14"/>
  <c r="H9" i="15"/>
  <c r="J9" i="15" s="1"/>
  <c r="B81" i="14"/>
  <c r="H18" i="15"/>
  <c r="B177" i="14"/>
  <c r="B65" i="14"/>
  <c r="J54" i="6"/>
  <c r="H54" i="7" s="1"/>
  <c r="J35" i="15"/>
  <c r="K35" i="15" s="1"/>
  <c r="G48" i="7"/>
  <c r="J48" i="6"/>
  <c r="H48" i="7" s="1"/>
  <c r="J40" i="15"/>
  <c r="G47" i="7"/>
  <c r="G49" i="7"/>
  <c r="J47" i="6"/>
  <c r="H47" i="7" s="1"/>
  <c r="J39" i="15"/>
  <c r="J49" i="6"/>
  <c r="H49" i="7" s="1"/>
  <c r="J41" i="15"/>
  <c r="G44" i="7"/>
  <c r="J45" i="6"/>
  <c r="H45" i="7" s="1"/>
  <c r="J37" i="15"/>
  <c r="G45" i="7"/>
  <c r="J44" i="6"/>
  <c r="H44" i="7" s="1"/>
  <c r="J36" i="15"/>
  <c r="J31" i="15"/>
  <c r="J41" i="6"/>
  <c r="H41" i="7" s="1"/>
  <c r="J33" i="15"/>
  <c r="G41" i="7"/>
  <c r="J51" i="6"/>
  <c r="B197" i="14"/>
  <c r="D197" i="14" s="1"/>
  <c r="J53" i="6"/>
  <c r="B184" i="12" s="1"/>
  <c r="K53" i="7" s="1"/>
  <c r="B203" i="14"/>
  <c r="D203" i="14" s="1"/>
  <c r="J52" i="6"/>
  <c r="B182" i="12" s="1"/>
  <c r="K52" i="7" s="1"/>
  <c r="B200" i="14"/>
  <c r="D200" i="14" s="1"/>
  <c r="J46" i="6"/>
  <c r="B163" i="12" s="1"/>
  <c r="C178" i="14"/>
  <c r="B154" i="14"/>
  <c r="G34" i="15" s="1"/>
  <c r="B156" i="14"/>
  <c r="C161" i="14"/>
  <c r="B155" i="14"/>
  <c r="B135" i="14"/>
  <c r="B134" i="14"/>
  <c r="B61" i="14"/>
  <c r="B77" i="14"/>
  <c r="J17" i="6"/>
  <c r="J39" i="6"/>
  <c r="H39" i="7" s="1"/>
  <c r="G42" i="7"/>
  <c r="B145" i="12"/>
  <c r="I42" i="7" s="1"/>
  <c r="G46" i="7"/>
  <c r="B162" i="12"/>
  <c r="I46" i="7" s="1"/>
  <c r="G51" i="7"/>
  <c r="B179" i="12"/>
  <c r="I51" i="7" s="1"/>
  <c r="G53" i="7"/>
  <c r="B183" i="12"/>
  <c r="I53" i="7" s="1"/>
  <c r="G43" i="7"/>
  <c r="B148" i="12"/>
  <c r="I43" i="7" s="1"/>
  <c r="G52" i="7"/>
  <c r="B181" i="12"/>
  <c r="I52" i="7" s="1"/>
  <c r="J38" i="6"/>
  <c r="J42" i="6"/>
  <c r="J43" i="6"/>
  <c r="I40" i="6"/>
  <c r="G40" i="6"/>
  <c r="G32" i="15" s="1"/>
  <c r="G39" i="6"/>
  <c r="G31" i="15" s="1"/>
  <c r="G38" i="6"/>
  <c r="G37" i="6"/>
  <c r="G29" i="15" s="1"/>
  <c r="I37" i="6"/>
  <c r="I29" i="15" s="1"/>
  <c r="I36" i="6"/>
  <c r="I35" i="6"/>
  <c r="I27" i="15" s="1"/>
  <c r="I34" i="6"/>
  <c r="I33" i="6"/>
  <c r="I32" i="6"/>
  <c r="I31" i="6"/>
  <c r="I23" i="15" s="1"/>
  <c r="I30" i="6"/>
  <c r="I22" i="15" s="1"/>
  <c r="I29" i="6"/>
  <c r="I28" i="6"/>
  <c r="I27" i="6"/>
  <c r="I19" i="15" s="1"/>
  <c r="I26" i="6"/>
  <c r="I18" i="15" s="1"/>
  <c r="I25" i="6"/>
  <c r="I17" i="15" s="1"/>
  <c r="I24" i="6"/>
  <c r="I16" i="15" s="1"/>
  <c r="I23" i="6"/>
  <c r="I22" i="6"/>
  <c r="I14" i="15" s="1"/>
  <c r="G36" i="6"/>
  <c r="G28" i="15" s="1"/>
  <c r="G35" i="6"/>
  <c r="G27" i="15" s="1"/>
  <c r="G34" i="6"/>
  <c r="G26" i="15" s="1"/>
  <c r="G33" i="6"/>
  <c r="G25" i="15" s="1"/>
  <c r="G32" i="6"/>
  <c r="G24" i="15" s="1"/>
  <c r="G31" i="6"/>
  <c r="G23" i="15" s="1"/>
  <c r="G30" i="6"/>
  <c r="G22" i="15" s="1"/>
  <c r="G29" i="6"/>
  <c r="G21" i="15" s="1"/>
  <c r="G28" i="6"/>
  <c r="G20" i="15" s="1"/>
  <c r="G27" i="6"/>
  <c r="G19" i="15" s="1"/>
  <c r="G25" i="6"/>
  <c r="G26" i="6"/>
  <c r="G24" i="6"/>
  <c r="G16" i="15" s="1"/>
  <c r="G23" i="6"/>
  <c r="G15" i="15" s="1"/>
  <c r="G22" i="6"/>
  <c r="G21" i="6"/>
  <c r="I21" i="6"/>
  <c r="I13" i="15" s="1"/>
  <c r="I24" i="15" l="1"/>
  <c r="J24" i="15" s="1"/>
  <c r="I25" i="15"/>
  <c r="J25" i="15" s="1"/>
  <c r="I28" i="15"/>
  <c r="J28" i="15" s="1"/>
  <c r="I26" i="15"/>
  <c r="J26" i="15" s="1"/>
  <c r="I15" i="15"/>
  <c r="J15" i="15" s="1"/>
  <c r="B64" i="14"/>
  <c r="G14" i="15" s="1"/>
  <c r="B60" i="14"/>
  <c r="G13" i="15" s="1"/>
  <c r="I32" i="15"/>
  <c r="J32" i="15" s="1"/>
  <c r="I20" i="15"/>
  <c r="J20" i="15" s="1"/>
  <c r="I21" i="15"/>
  <c r="J21" i="15" s="1"/>
  <c r="J38" i="15"/>
  <c r="K38" i="15" s="1"/>
  <c r="J14" i="15"/>
  <c r="K14" i="15" s="1"/>
  <c r="B66" i="14"/>
  <c r="J34" i="15"/>
  <c r="L34" i="15" s="1"/>
  <c r="J30" i="15"/>
  <c r="K30" i="15" s="1"/>
  <c r="B185" i="12"/>
  <c r="I54" i="7" s="1"/>
  <c r="B180" i="12"/>
  <c r="K51" i="7" s="1"/>
  <c r="K55" i="7" s="1"/>
  <c r="J55" i="6"/>
  <c r="H52" i="7"/>
  <c r="K46" i="7"/>
  <c r="L35" i="15"/>
  <c r="M35" i="15" s="1"/>
  <c r="N35" i="15" s="1"/>
  <c r="H51" i="7"/>
  <c r="H53" i="7"/>
  <c r="H46" i="7"/>
  <c r="L41" i="15"/>
  <c r="K41" i="15"/>
  <c r="K39" i="15"/>
  <c r="L39" i="15"/>
  <c r="K40" i="15"/>
  <c r="L40" i="15"/>
  <c r="K36" i="15"/>
  <c r="L36" i="15"/>
  <c r="K37" i="15"/>
  <c r="L37" i="15"/>
  <c r="G40" i="7"/>
  <c r="K33" i="15"/>
  <c r="L33" i="15"/>
  <c r="K31" i="15"/>
  <c r="L31" i="15"/>
  <c r="G39" i="7"/>
  <c r="J27" i="6"/>
  <c r="H27" i="7" s="1"/>
  <c r="J19" i="15"/>
  <c r="J31" i="6"/>
  <c r="H31" i="7" s="1"/>
  <c r="J23" i="15"/>
  <c r="J35" i="6"/>
  <c r="H35" i="7" s="1"/>
  <c r="J27" i="15"/>
  <c r="J37" i="6"/>
  <c r="H37" i="7" s="1"/>
  <c r="J29" i="15"/>
  <c r="G28" i="7"/>
  <c r="G30" i="7"/>
  <c r="G32" i="7"/>
  <c r="G34" i="7"/>
  <c r="G36" i="7"/>
  <c r="G27" i="7"/>
  <c r="G29" i="7"/>
  <c r="G31" i="7"/>
  <c r="G33" i="7"/>
  <c r="G35" i="7"/>
  <c r="J30" i="6"/>
  <c r="H30" i="7" s="1"/>
  <c r="J22" i="15"/>
  <c r="G37" i="7"/>
  <c r="L9" i="15"/>
  <c r="B43" i="12"/>
  <c r="K17" i="7" s="1"/>
  <c r="B133" i="14"/>
  <c r="G30" i="15" s="1"/>
  <c r="C67" i="14"/>
  <c r="B76" i="14"/>
  <c r="G17" i="15" s="1"/>
  <c r="B78" i="14"/>
  <c r="J17" i="15"/>
  <c r="K17" i="15" s="1"/>
  <c r="J21" i="6"/>
  <c r="B73" i="12" s="1"/>
  <c r="B62" i="14"/>
  <c r="J13" i="15"/>
  <c r="K13" i="15" s="1"/>
  <c r="G24" i="7"/>
  <c r="C75" i="14"/>
  <c r="C71" i="14"/>
  <c r="B80" i="14"/>
  <c r="G18" i="15" s="1"/>
  <c r="J24" i="6"/>
  <c r="H24" i="7" s="1"/>
  <c r="J16" i="15"/>
  <c r="B82" i="14"/>
  <c r="J18" i="15"/>
  <c r="K18" i="15" s="1"/>
  <c r="K9" i="15"/>
  <c r="G25" i="7"/>
  <c r="B84" i="12"/>
  <c r="I25" i="7" s="1"/>
  <c r="G21" i="7"/>
  <c r="B72" i="12"/>
  <c r="I21" i="7" s="1"/>
  <c r="G23" i="7"/>
  <c r="B78" i="12"/>
  <c r="I23" i="7" s="1"/>
  <c r="G26" i="7"/>
  <c r="B87" i="12"/>
  <c r="I26" i="7" s="1"/>
  <c r="H42" i="7"/>
  <c r="B146" i="12"/>
  <c r="J36" i="6"/>
  <c r="H36" i="7" s="1"/>
  <c r="J32" i="6"/>
  <c r="H32" i="7" s="1"/>
  <c r="J28" i="6"/>
  <c r="H28" i="7" s="1"/>
  <c r="J40" i="6"/>
  <c r="H40" i="7" s="1"/>
  <c r="G22" i="7"/>
  <c r="B75" i="12"/>
  <c r="I22" i="7" s="1"/>
  <c r="G38" i="7"/>
  <c r="B128" i="12"/>
  <c r="I38" i="7" s="1"/>
  <c r="H43" i="7"/>
  <c r="B149" i="12"/>
  <c r="H38" i="7"/>
  <c r="B129" i="12"/>
  <c r="J34" i="6"/>
  <c r="H34" i="7" s="1"/>
  <c r="J33" i="6"/>
  <c r="H33" i="7" s="1"/>
  <c r="J29" i="6"/>
  <c r="H29" i="7" s="1"/>
  <c r="J25" i="6"/>
  <c r="J26" i="6"/>
  <c r="J22" i="6"/>
  <c r="J23" i="6"/>
  <c r="L38" i="15" l="1"/>
  <c r="L21" i="15"/>
  <c r="K21" i="15"/>
  <c r="K28" i="15"/>
  <c r="L28" i="15"/>
  <c r="K20" i="15"/>
  <c r="L20" i="15"/>
  <c r="K25" i="15"/>
  <c r="L25" i="15"/>
  <c r="L32" i="15"/>
  <c r="K32" i="15"/>
  <c r="L15" i="15"/>
  <c r="K15" i="15"/>
  <c r="L26" i="15"/>
  <c r="K26" i="15"/>
  <c r="K24" i="15"/>
  <c r="L24" i="15"/>
  <c r="L14" i="15"/>
  <c r="M14" i="15" s="1"/>
  <c r="N14" i="15" s="1"/>
  <c r="K34" i="15"/>
  <c r="M34" i="15" s="1"/>
  <c r="N34" i="15" s="1"/>
  <c r="L30" i="15"/>
  <c r="B105" i="12"/>
  <c r="I32" i="7" s="1"/>
  <c r="H55" i="7"/>
  <c r="M33" i="15"/>
  <c r="N33" i="15" s="1"/>
  <c r="H21" i="7"/>
  <c r="M37" i="15"/>
  <c r="N37" i="15" s="1"/>
  <c r="M36" i="15"/>
  <c r="N36" i="15" s="1"/>
  <c r="M31" i="15"/>
  <c r="N31" i="15" s="1"/>
  <c r="M28" i="15"/>
  <c r="N28" i="15" s="1"/>
  <c r="M21" i="15"/>
  <c r="N21" i="15" s="1"/>
  <c r="M41" i="15"/>
  <c r="N41" i="15" s="1"/>
  <c r="M40" i="15"/>
  <c r="N40" i="15" s="1"/>
  <c r="M39" i="15"/>
  <c r="N39" i="15" s="1"/>
  <c r="K22" i="15"/>
  <c r="L22" i="15"/>
  <c r="K29" i="15"/>
  <c r="L29" i="15"/>
  <c r="K27" i="15"/>
  <c r="L27" i="15"/>
  <c r="K23" i="15"/>
  <c r="L23" i="15"/>
  <c r="L19" i="15"/>
  <c r="K19" i="15"/>
  <c r="M9" i="15"/>
  <c r="K21" i="7"/>
  <c r="M38" i="15"/>
  <c r="N38" i="15" s="1"/>
  <c r="M30" i="15"/>
  <c r="N30" i="15" s="1"/>
  <c r="L18" i="15"/>
  <c r="M18" i="15" s="1"/>
  <c r="N18" i="15" s="1"/>
  <c r="K16" i="15"/>
  <c r="L16" i="15"/>
  <c r="L13" i="15"/>
  <c r="M13" i="15" s="1"/>
  <c r="N13" i="15" s="1"/>
  <c r="L17" i="15"/>
  <c r="M17" i="15" s="1"/>
  <c r="N17" i="15" s="1"/>
  <c r="H22" i="7"/>
  <c r="B76" i="12"/>
  <c r="H25" i="7"/>
  <c r="B85" i="12"/>
  <c r="H23" i="7"/>
  <c r="B79" i="12"/>
  <c r="H26" i="7"/>
  <c r="B88" i="12"/>
  <c r="K38" i="7"/>
  <c r="K43" i="7"/>
  <c r="K42" i="7"/>
  <c r="G20" i="6"/>
  <c r="G12" i="15" s="1"/>
  <c r="M25" i="15" l="1"/>
  <c r="N25" i="15" s="1"/>
  <c r="M32" i="15"/>
  <c r="N32" i="15" s="1"/>
  <c r="M26" i="15"/>
  <c r="N26" i="15" s="1"/>
  <c r="M15" i="15"/>
  <c r="N15" i="15" s="1"/>
  <c r="M20" i="15"/>
  <c r="N20" i="15" s="1"/>
  <c r="M24" i="15"/>
  <c r="N24" i="15" s="1"/>
  <c r="M19" i="15"/>
  <c r="N19" i="15" s="1"/>
  <c r="M23" i="15"/>
  <c r="N23" i="15" s="1"/>
  <c r="M27" i="15"/>
  <c r="N27" i="15" s="1"/>
  <c r="M29" i="15"/>
  <c r="N29" i="15" s="1"/>
  <c r="M22" i="15"/>
  <c r="N22" i="15" s="1"/>
  <c r="G20" i="7"/>
  <c r="N9" i="15"/>
  <c r="M16" i="15"/>
  <c r="N16" i="15" s="1"/>
  <c r="K26" i="7"/>
  <c r="K23" i="7"/>
  <c r="K25" i="7"/>
  <c r="K22" i="7"/>
  <c r="I20" i="6"/>
  <c r="I19" i="6"/>
  <c r="I11" i="15" s="1"/>
  <c r="I18" i="6"/>
  <c r="I10" i="15" s="1"/>
  <c r="G19" i="6"/>
  <c r="G11" i="15" s="1"/>
  <c r="G18" i="6"/>
  <c r="G10" i="15" s="1"/>
  <c r="I12" i="15" l="1"/>
  <c r="J12" i="15" s="1"/>
  <c r="G19" i="7"/>
  <c r="J19" i="6"/>
  <c r="H19" i="7" s="1"/>
  <c r="J11" i="15"/>
  <c r="J18" i="6"/>
  <c r="J10" i="15"/>
  <c r="G18" i="7"/>
  <c r="B45" i="12"/>
  <c r="I18" i="7" s="1"/>
  <c r="J20" i="6"/>
  <c r="H20" i="7" s="1"/>
  <c r="H17" i="7"/>
  <c r="I3" i="6"/>
  <c r="L12" i="15" l="1"/>
  <c r="K12" i="15"/>
  <c r="M12" i="15" s="1"/>
  <c r="N12" i="15" s="1"/>
  <c r="B46" i="12"/>
  <c r="J50" i="6"/>
  <c r="J57" i="6" s="1"/>
  <c r="K11" i="15"/>
  <c r="L11" i="15"/>
  <c r="J42" i="15"/>
  <c r="H18" i="7"/>
  <c r="H50" i="7" s="1"/>
  <c r="H57" i="7" s="1"/>
  <c r="K10" i="15"/>
  <c r="L10" i="15"/>
  <c r="M11" i="15" l="1"/>
  <c r="N11" i="15" s="1"/>
  <c r="K18" i="7"/>
  <c r="M10" i="15"/>
  <c r="B267" i="5"/>
  <c r="E270" i="5" s="1"/>
  <c r="M42" i="15" l="1"/>
  <c r="B213" i="14" s="1"/>
  <c r="K50" i="7"/>
  <c r="N10" i="15"/>
  <c r="N42" i="15" s="1"/>
  <c r="B268" i="5"/>
  <c r="B270" i="5" s="1"/>
  <c r="B214" i="14" l="1"/>
  <c r="E216" i="14"/>
  <c r="K57" i="7"/>
  <c r="B192" i="12"/>
  <c r="E195" i="12" s="1"/>
  <c r="K18" i="2"/>
  <c r="K17" i="2"/>
  <c r="K16" i="2"/>
  <c r="K15" i="2"/>
  <c r="K14" i="2"/>
  <c r="K13" i="2"/>
  <c r="I18" i="2"/>
  <c r="I17" i="2"/>
  <c r="I16" i="2"/>
  <c r="I15" i="2"/>
  <c r="I14" i="2"/>
  <c r="I13" i="2"/>
  <c r="G18" i="2"/>
  <c r="G17" i="2"/>
  <c r="G16" i="2"/>
  <c r="G15" i="2"/>
  <c r="G14" i="2"/>
  <c r="G13" i="2"/>
  <c r="C18" i="2"/>
  <c r="C17" i="2"/>
  <c r="C16" i="2"/>
  <c r="C15" i="2"/>
  <c r="C14" i="2"/>
  <c r="C13" i="2"/>
  <c r="B18" i="2"/>
  <c r="B17" i="2"/>
  <c r="B16" i="2"/>
  <c r="B15" i="2"/>
  <c r="B14" i="2"/>
  <c r="B13" i="2"/>
  <c r="K12" i="2"/>
  <c r="I12" i="2"/>
  <c r="G12" i="2"/>
  <c r="C12" i="2"/>
  <c r="B12" i="2"/>
  <c r="A15" i="2" l="1"/>
  <c r="B28" i="2"/>
  <c r="A18" i="2"/>
  <c r="B31" i="2"/>
  <c r="A14" i="2"/>
  <c r="B27" i="2"/>
  <c r="A13" i="2"/>
  <c r="B26" i="2"/>
  <c r="A16" i="2"/>
  <c r="B29" i="2"/>
  <c r="A17" i="2"/>
  <c r="B30" i="2"/>
  <c r="A12" i="2"/>
  <c r="B25" i="2"/>
  <c r="E42" i="9"/>
  <c r="B193" i="12"/>
  <c r="B195" i="12" l="1"/>
  <c r="B194" i="12" s="1"/>
  <c r="B216" i="14"/>
  <c r="B215" i="14" s="1"/>
  <c r="J8" i="6" l="1"/>
  <c r="K8" i="7"/>
  <c r="B269" i="5" l="1"/>
  <c r="J10" i="6" s="1"/>
  <c r="J12" i="6" s="1"/>
  <c r="F47" i="1"/>
  <c r="K10" i="7"/>
  <c r="H8" i="7"/>
  <c r="K12" i="7" l="1"/>
  <c r="K59" i="7" s="1"/>
  <c r="H10" i="7"/>
  <c r="H12" i="7" s="1"/>
  <c r="J59" i="6"/>
  <c r="H59" i="7" l="1"/>
</calcChain>
</file>

<file path=xl/sharedStrings.xml><?xml version="1.0" encoding="utf-8"?>
<sst xmlns="http://schemas.openxmlformats.org/spreadsheetml/2006/main" count="1019" uniqueCount="398">
  <si>
    <t>別記</t>
    <rPh sb="0" eb="2">
      <t>ベッキ</t>
    </rPh>
    <phoneticPr fontId="1"/>
  </si>
  <si>
    <t>東京都知事　　殿</t>
    <rPh sb="0" eb="3">
      <t>トウキョウト</t>
    </rPh>
    <rPh sb="3" eb="5">
      <t>チジ</t>
    </rPh>
    <rPh sb="7" eb="8">
      <t>ドノ</t>
    </rPh>
    <phoneticPr fontId="1"/>
  </si>
  <si>
    <t>団体名</t>
    <rPh sb="0" eb="2">
      <t>ダンタイ</t>
    </rPh>
    <rPh sb="2" eb="3">
      <t>メイ</t>
    </rPh>
    <phoneticPr fontId="1"/>
  </si>
  <si>
    <t>電話番号</t>
    <rPh sb="0" eb="2">
      <t>デンワ</t>
    </rPh>
    <rPh sb="2" eb="4">
      <t>バンゴウ</t>
    </rPh>
    <phoneticPr fontId="1"/>
  </si>
  <si>
    <t>記</t>
    <rPh sb="0" eb="1">
      <t>キ</t>
    </rPh>
    <phoneticPr fontId="1"/>
  </si>
  <si>
    <t>令和　　年　　月　　日</t>
    <phoneticPr fontId="1"/>
  </si>
  <si>
    <t>１</t>
    <phoneticPr fontId="1"/>
  </si>
  <si>
    <t>２</t>
    <phoneticPr fontId="1"/>
  </si>
  <si>
    <t>３</t>
    <phoneticPr fontId="1"/>
  </si>
  <si>
    <t>４</t>
    <phoneticPr fontId="1"/>
  </si>
  <si>
    <t>団体名</t>
    <phoneticPr fontId="1"/>
  </si>
  <si>
    <t>所在地等</t>
    <phoneticPr fontId="1"/>
  </si>
  <si>
    <t>電話番号</t>
    <phoneticPr fontId="1"/>
  </si>
  <si>
    <t>印</t>
    <rPh sb="0" eb="1">
      <t>イン</t>
    </rPh>
    <phoneticPr fontId="1"/>
  </si>
  <si>
    <t>下表に記載の共同実施団体・連携実施団体は、地域の底力発展事業助成への申請にあたり、以下のと</t>
    <phoneticPr fontId="1"/>
  </si>
  <si>
    <t>おり事業を共同・連携して実施することについて合意します。</t>
    <phoneticPr fontId="1"/>
  </si>
  <si>
    <t>併せて、下表の団体は、申請団体に対し、地域の底力発展事業助成金の申請、請求、受領及び精算に</t>
    <phoneticPr fontId="1"/>
  </si>
  <si>
    <t>関する事項を委任し、申請団体はこれを承諾します。</t>
    <phoneticPr fontId="1"/>
  </si>
  <si>
    <t>別紙　事業の共同実施・連携実施に係る合意書　兼　委任状</t>
    <phoneticPr fontId="1"/>
  </si>
  <si>
    <t>※申請を行う町会・自治会又は区市町村の担当者に限ります。</t>
    <phoneticPr fontId="1"/>
  </si>
  <si>
    <t>その他</t>
    <rPh sb="2" eb="3">
      <t>タ</t>
    </rPh>
    <phoneticPr fontId="1"/>
  </si>
  <si>
    <t>反省会実施日</t>
    <rPh sb="0" eb="2">
      <t>ハンセイ</t>
    </rPh>
    <rPh sb="2" eb="3">
      <t>カイ</t>
    </rPh>
    <rPh sb="3" eb="5">
      <t>ジッシ</t>
    </rPh>
    <rPh sb="5" eb="6">
      <t>ビ</t>
    </rPh>
    <phoneticPr fontId="1"/>
  </si>
  <si>
    <t>初回打合せ日</t>
    <rPh sb="0" eb="2">
      <t>ショカイ</t>
    </rPh>
    <rPh sb="2" eb="4">
      <t>ウチアワ</t>
    </rPh>
    <rPh sb="5" eb="6">
      <t>ビ</t>
    </rPh>
    <phoneticPr fontId="1"/>
  </si>
  <si>
    <t>代表者役職</t>
    <rPh sb="0" eb="2">
      <t>ダイヒョウ</t>
    </rPh>
    <rPh sb="2" eb="3">
      <t>シャ</t>
    </rPh>
    <rPh sb="3" eb="5">
      <t>ヤクショク</t>
    </rPh>
    <phoneticPr fontId="1"/>
  </si>
  <si>
    <t>代表者氏名</t>
    <rPh sb="0" eb="2">
      <t>ダイヒョウ</t>
    </rPh>
    <rPh sb="2" eb="3">
      <t>シャ</t>
    </rPh>
    <rPh sb="3" eb="5">
      <t>シメイ</t>
    </rPh>
    <phoneticPr fontId="1"/>
  </si>
  <si>
    <t>連絡責任者氏名</t>
    <rPh sb="0" eb="2">
      <t>レンラク</t>
    </rPh>
    <rPh sb="2" eb="4">
      <t>セキニン</t>
    </rPh>
    <rPh sb="4" eb="5">
      <t>シャ</t>
    </rPh>
    <rPh sb="5" eb="7">
      <t>シメイ</t>
    </rPh>
    <phoneticPr fontId="1"/>
  </si>
  <si>
    <t>ー</t>
    <phoneticPr fontId="1"/>
  </si>
  <si>
    <t>←入力フォームから自動転記されます</t>
    <rPh sb="1" eb="3">
      <t>ニュウリョク</t>
    </rPh>
    <rPh sb="9" eb="11">
      <t>ジドウ</t>
    </rPh>
    <rPh sb="11" eb="13">
      <t>テンキ</t>
    </rPh>
    <phoneticPr fontId="1"/>
  </si>
  <si>
    <t>←プルダウンリストから選んでください</t>
    <rPh sb="11" eb="12">
      <t>エラ</t>
    </rPh>
    <phoneticPr fontId="1"/>
  </si>
  <si>
    <t>←氏名以外入力フォームから自動転記されます</t>
    <rPh sb="1" eb="3">
      <t>シメイ</t>
    </rPh>
    <rPh sb="3" eb="5">
      <t>イガイ</t>
    </rPh>
    <rPh sb="5" eb="7">
      <t>ニュウリョク</t>
    </rPh>
    <rPh sb="13" eb="17">
      <t>ジドウテンキ</t>
    </rPh>
    <phoneticPr fontId="1"/>
  </si>
  <si>
    <t>連絡責任者役職（申請を行う町会・自治会又は区市町村の担当者に限ります。）</t>
    <rPh sb="0" eb="2">
      <t>レンラク</t>
    </rPh>
    <rPh sb="2" eb="4">
      <t>セキニン</t>
    </rPh>
    <rPh sb="4" eb="5">
      <t>シャ</t>
    </rPh>
    <rPh sb="5" eb="7">
      <t>ヤクショク</t>
    </rPh>
    <rPh sb="19" eb="20">
      <t>マタ</t>
    </rPh>
    <phoneticPr fontId="1"/>
  </si>
  <si>
    <t>←日中連絡の取れる担当者としてください</t>
    <rPh sb="1" eb="3">
      <t>ニッチュウ</t>
    </rPh>
    <rPh sb="3" eb="5">
      <t>レンラク</t>
    </rPh>
    <rPh sb="6" eb="7">
      <t>ト</t>
    </rPh>
    <rPh sb="9" eb="12">
      <t>タントウシャ</t>
    </rPh>
    <phoneticPr fontId="1"/>
  </si>
  <si>
    <t>←会則・規約で定められた正式な名称</t>
    <phoneticPr fontId="1"/>
  </si>
  <si>
    <t>←会則・規約上の事務所等の所在地。定めがない場合は会長宅の住所</t>
    <phoneticPr fontId="1"/>
  </si>
  <si>
    <t>←灰色のセルは共同実施団体・連携実施団体名１を入力すると表示されます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</si>
  <si>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←灰色のセルは共同実施団体・連携実施団体名２を入力すると表示されます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</si>
  <si>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←灰色のセルは共同実施団体・連携実施団体名３を入力すると表示されます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</si>
  <si>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←灰色のセルは共同実施団体・連携実施団体名４を入力すると表示されます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</si>
  <si>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←灰色のセルは共同実施団体・連携実施団体名５を入力すると表示されます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</si>
  <si>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←灰色のセルは共同実施団体・連携実施団体名６を入力すると表示されます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</si>
  <si>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収支予算書</t>
    <rPh sb="0" eb="1">
      <t>オサム</t>
    </rPh>
    <rPh sb="1" eb="2">
      <t>ササ</t>
    </rPh>
    <rPh sb="2" eb="3">
      <t>ヨ</t>
    </rPh>
    <rPh sb="3" eb="4">
      <t>ザン</t>
    </rPh>
    <rPh sb="4" eb="5">
      <t>ショ</t>
    </rPh>
    <phoneticPr fontId="15"/>
  </si>
  <si>
    <t>団体名</t>
    <rPh sb="0" eb="2">
      <t>ダンタイ</t>
    </rPh>
    <rPh sb="2" eb="3">
      <t>メイ</t>
    </rPh>
    <phoneticPr fontId="15"/>
  </si>
  <si>
    <t>(単位：円）</t>
    <rPh sb="1" eb="3">
      <t>タンイ</t>
    </rPh>
    <rPh sb="4" eb="5">
      <t>エン</t>
    </rPh>
    <phoneticPr fontId="15"/>
  </si>
  <si>
    <t>科　　　　　目</t>
    <rPh sb="0" eb="1">
      <t>カ</t>
    </rPh>
    <rPh sb="6" eb="7">
      <t>メ</t>
    </rPh>
    <phoneticPr fontId="15"/>
  </si>
  <si>
    <t>収入内容</t>
    <rPh sb="0" eb="2">
      <t>シュウニュウ</t>
    </rPh>
    <rPh sb="2" eb="4">
      <t>ナイヨウ</t>
    </rPh>
    <phoneticPr fontId="15"/>
  </si>
  <si>
    <t>金額</t>
    <rPh sb="0" eb="2">
      <t>キンガク</t>
    </rPh>
    <phoneticPr fontId="15"/>
  </si>
  <si>
    <t>Ⅰ　収入の部</t>
    <rPh sb="2" eb="4">
      <t>シュウニュウ</t>
    </rPh>
    <rPh sb="5" eb="6">
      <t>ブ</t>
    </rPh>
    <phoneticPr fontId="15"/>
  </si>
  <si>
    <r>
      <t>助成金収入</t>
    </r>
    <r>
      <rPr>
        <sz val="9"/>
        <rFont val="ＭＳ Ｐゴシック"/>
        <family val="3"/>
        <charset val="128"/>
      </rPr>
      <t/>
    </r>
    <rPh sb="0" eb="3">
      <t>ジョセイキン</t>
    </rPh>
    <rPh sb="3" eb="5">
      <t>シュウニュウ</t>
    </rPh>
    <phoneticPr fontId="15"/>
  </si>
  <si>
    <t>地域の底力発展事業助成金</t>
    <rPh sb="0" eb="2">
      <t>チイキ</t>
    </rPh>
    <rPh sb="3" eb="5">
      <t>ソコヂカラ</t>
    </rPh>
    <rPh sb="5" eb="7">
      <t>ハッテン</t>
    </rPh>
    <rPh sb="7" eb="9">
      <t>ジギョウ</t>
    </rPh>
    <rPh sb="9" eb="11">
      <t>ジョセイ</t>
    </rPh>
    <rPh sb="11" eb="12">
      <t>キン</t>
    </rPh>
    <phoneticPr fontId="15"/>
  </si>
  <si>
    <t>（1,000円未満切捨て）</t>
    <rPh sb="6" eb="7">
      <t>エン</t>
    </rPh>
    <rPh sb="7" eb="9">
      <t>ミマン</t>
    </rPh>
    <rPh sb="9" eb="11">
      <t>キリス</t>
    </rPh>
    <phoneticPr fontId="15"/>
  </si>
  <si>
    <t>その他収入</t>
    <rPh sb="2" eb="3">
      <t>タ</t>
    </rPh>
    <rPh sb="3" eb="5">
      <t>シュウニュウ</t>
    </rPh>
    <phoneticPr fontId="15"/>
  </si>
  <si>
    <t>自己資金</t>
    <rPh sb="0" eb="2">
      <t>ジコ</t>
    </rPh>
    <rPh sb="2" eb="4">
      <t>シキン</t>
    </rPh>
    <phoneticPr fontId="15"/>
  </si>
  <si>
    <t>収入合計</t>
    <rPh sb="0" eb="2">
      <t>シュウニュウ</t>
    </rPh>
    <rPh sb="2" eb="4">
      <t>ゴウケイ</t>
    </rPh>
    <phoneticPr fontId="15"/>
  </si>
  <si>
    <t>科　　　　目</t>
    <rPh sb="0" eb="1">
      <t>カ</t>
    </rPh>
    <rPh sb="5" eb="6">
      <t>メ</t>
    </rPh>
    <phoneticPr fontId="15"/>
  </si>
  <si>
    <t>支出内容</t>
    <rPh sb="0" eb="2">
      <t>シシュツ</t>
    </rPh>
    <rPh sb="2" eb="4">
      <t>ナイヨウ</t>
    </rPh>
    <phoneticPr fontId="15"/>
  </si>
  <si>
    <t>数量</t>
    <rPh sb="0" eb="2">
      <t>スウリョウ</t>
    </rPh>
    <phoneticPr fontId="15"/>
  </si>
  <si>
    <t>Ⅱ　支出の部</t>
    <rPh sb="2" eb="4">
      <t>シシュツ</t>
    </rPh>
    <rPh sb="5" eb="6">
      <t>ブ</t>
    </rPh>
    <phoneticPr fontId="15"/>
  </si>
  <si>
    <t>１　助成対象経費</t>
    <rPh sb="2" eb="6">
      <t>ジョセイタイショウ</t>
    </rPh>
    <rPh sb="6" eb="8">
      <t>ケイヒ</t>
    </rPh>
    <phoneticPr fontId="15"/>
  </si>
  <si>
    <t>（1）</t>
    <phoneticPr fontId="15"/>
  </si>
  <si>
    <t>謝礼金</t>
    <rPh sb="0" eb="3">
      <t>シャレイキン</t>
    </rPh>
    <phoneticPr fontId="15"/>
  </si>
  <si>
    <t>（2）</t>
    <phoneticPr fontId="15"/>
  </si>
  <si>
    <t>（3）</t>
    <phoneticPr fontId="15"/>
  </si>
  <si>
    <t>物品購入費</t>
    <rPh sb="0" eb="2">
      <t>ブッピン</t>
    </rPh>
    <rPh sb="2" eb="5">
      <t>コウニュウヒ</t>
    </rPh>
    <phoneticPr fontId="15"/>
  </si>
  <si>
    <t>（4）</t>
    <phoneticPr fontId="15"/>
  </si>
  <si>
    <t>印刷経費</t>
    <rPh sb="0" eb="2">
      <t>インサツ</t>
    </rPh>
    <rPh sb="2" eb="4">
      <t>ケイヒ</t>
    </rPh>
    <phoneticPr fontId="15"/>
  </si>
  <si>
    <t>（5）</t>
    <phoneticPr fontId="15"/>
  </si>
  <si>
    <t>役務費</t>
    <rPh sb="0" eb="2">
      <t>エキム</t>
    </rPh>
    <rPh sb="2" eb="3">
      <t>ヒ</t>
    </rPh>
    <phoneticPr fontId="15"/>
  </si>
  <si>
    <t>レンタル・</t>
    <phoneticPr fontId="15"/>
  </si>
  <si>
    <t>リース料</t>
    <rPh sb="3" eb="4">
      <t>リョウ</t>
    </rPh>
    <phoneticPr fontId="15"/>
  </si>
  <si>
    <t>小計①</t>
    <rPh sb="0" eb="2">
      <t>ショウケイ</t>
    </rPh>
    <phoneticPr fontId="15"/>
  </si>
  <si>
    <t>２　助成対象外経費</t>
    <rPh sb="2" eb="4">
      <t>ジョセイ</t>
    </rPh>
    <rPh sb="4" eb="7">
      <t>タイショウガイ</t>
    </rPh>
    <rPh sb="7" eb="9">
      <t>ケイヒ</t>
    </rPh>
    <phoneticPr fontId="15"/>
  </si>
  <si>
    <t>　（その他経費）</t>
    <rPh sb="4" eb="5">
      <t>タ</t>
    </rPh>
    <rPh sb="5" eb="7">
      <t>ケイヒ</t>
    </rPh>
    <phoneticPr fontId="15"/>
  </si>
  <si>
    <t>小計②</t>
    <rPh sb="0" eb="2">
      <t>ショウケイ</t>
    </rPh>
    <phoneticPr fontId="15"/>
  </si>
  <si>
    <t>支出合計</t>
    <rPh sb="0" eb="2">
      <t>シシュツ</t>
    </rPh>
    <rPh sb="2" eb="4">
      <t>ゴウケイ</t>
    </rPh>
    <phoneticPr fontId="15"/>
  </si>
  <si>
    <t>小計①+②</t>
    <rPh sb="0" eb="2">
      <t>ショウケイ</t>
    </rPh>
    <phoneticPr fontId="15"/>
  </si>
  <si>
    <t>収支差額</t>
    <rPh sb="0" eb="2">
      <t>シュウシ</t>
    </rPh>
    <rPh sb="2" eb="4">
      <t>サガク</t>
    </rPh>
    <phoneticPr fontId="15"/>
  </si>
  <si>
    <t>支出に謝礼金は含まれますか</t>
    <phoneticPr fontId="1"/>
  </si>
  <si>
    <t>支出に物品購入費は含まれますか</t>
    <phoneticPr fontId="1"/>
  </si>
  <si>
    <t>支出に印刷経費は含まれますか</t>
    <rPh sb="0" eb="2">
      <t>シシュツ</t>
    </rPh>
    <rPh sb="3" eb="5">
      <t>インサツ</t>
    </rPh>
    <rPh sb="5" eb="7">
      <t>ケイヒ</t>
    </rPh>
    <rPh sb="8" eb="9">
      <t>フク</t>
    </rPh>
    <phoneticPr fontId="1"/>
  </si>
  <si>
    <t>支出に役務費は含まれますか</t>
    <phoneticPr fontId="1"/>
  </si>
  <si>
    <t>支出にレンタル・リース料は含まれますか</t>
    <phoneticPr fontId="1"/>
  </si>
  <si>
    <t>支出に助成対象外経費は含まれますか</t>
    <phoneticPr fontId="1"/>
  </si>
  <si>
    <t>団体の種類</t>
    <rPh sb="0" eb="2">
      <t>ダンタイ</t>
    </rPh>
    <rPh sb="3" eb="5">
      <t>シュルイ</t>
    </rPh>
    <phoneticPr fontId="1"/>
  </si>
  <si>
    <t>申請上限額（自動入力）</t>
    <rPh sb="0" eb="2">
      <t>シンセイ</t>
    </rPh>
    <rPh sb="2" eb="5">
      <t>ジョウゲンガク</t>
    </rPh>
    <rPh sb="6" eb="8">
      <t>ジドウ</t>
    </rPh>
    <rPh sb="8" eb="10">
      <t>ニュウリョク</t>
    </rPh>
    <phoneticPr fontId="1"/>
  </si>
  <si>
    <t>助成対象経費合計額（自動入力）</t>
    <rPh sb="0" eb="2">
      <t>ジョセイ</t>
    </rPh>
    <rPh sb="2" eb="4">
      <t>タイショウ</t>
    </rPh>
    <rPh sb="4" eb="6">
      <t>ケイヒ</t>
    </rPh>
    <rPh sb="6" eb="8">
      <t>ゴウケイ</t>
    </rPh>
    <rPh sb="8" eb="9">
      <t>ガク</t>
    </rPh>
    <rPh sb="10" eb="12">
      <t>ジドウ</t>
    </rPh>
    <rPh sb="12" eb="14">
      <t>ニュウリョク</t>
    </rPh>
    <phoneticPr fontId="1"/>
  </si>
  <si>
    <t>支出合計額（自動入力）</t>
    <rPh sb="0" eb="2">
      <t>シシュツ</t>
    </rPh>
    <rPh sb="2" eb="4">
      <t>ゴウケイ</t>
    </rPh>
    <rPh sb="4" eb="5">
      <t>ガク</t>
    </rPh>
    <rPh sb="6" eb="8">
      <t>ジドウ</t>
    </rPh>
    <rPh sb="8" eb="10">
      <t>ニュウリョク</t>
    </rPh>
    <phoneticPr fontId="1"/>
  </si>
  <si>
    <t>自己資金（自動入力）</t>
    <rPh sb="0" eb="2">
      <t>ジコ</t>
    </rPh>
    <rPh sb="2" eb="4">
      <t>シキン</t>
    </rPh>
    <rPh sb="5" eb="7">
      <t>ジドウ</t>
    </rPh>
    <rPh sb="7" eb="9">
      <t>ニュウリョク</t>
    </rPh>
    <phoneticPr fontId="1"/>
  </si>
  <si>
    <t>「地域の底力発展事業助成金」として申請する金額（自動入力）</t>
    <rPh sb="24" eb="26">
      <t>ジドウ</t>
    </rPh>
    <rPh sb="26" eb="28">
      <t>ニュウリョク</t>
    </rPh>
    <phoneticPr fontId="1"/>
  </si>
  <si>
    <t>決　　算　　書</t>
    <rPh sb="0" eb="1">
      <t>ケツ</t>
    </rPh>
    <rPh sb="3" eb="4">
      <t>ザン</t>
    </rPh>
    <rPh sb="6" eb="7">
      <t>ショ</t>
    </rPh>
    <phoneticPr fontId="15"/>
  </si>
  <si>
    <t>１　助成金収入</t>
    <phoneticPr fontId="15"/>
  </si>
  <si>
    <t>地域の底力発展事業助成金</t>
    <phoneticPr fontId="15"/>
  </si>
  <si>
    <t>２　その他収入</t>
    <rPh sb="4" eb="5">
      <t>タ</t>
    </rPh>
    <rPh sb="5" eb="7">
      <t>シュウニュウ</t>
    </rPh>
    <phoneticPr fontId="15"/>
  </si>
  <si>
    <t>領収書
番号</t>
    <rPh sb="0" eb="2">
      <t>リョウシュウ</t>
    </rPh>
    <rPh sb="2" eb="3">
      <t>ショ</t>
    </rPh>
    <rPh sb="4" eb="6">
      <t>バンゴウ</t>
    </rPh>
    <phoneticPr fontId="15"/>
  </si>
  <si>
    <t>１　助成対象経費</t>
    <rPh sb="2" eb="4">
      <t>ジョセイ</t>
    </rPh>
    <rPh sb="4" eb="6">
      <t>タイショウ</t>
    </rPh>
    <rPh sb="6" eb="8">
      <t>ケイヒ</t>
    </rPh>
    <phoneticPr fontId="15"/>
  </si>
  <si>
    <t>(1)　謝礼金</t>
    <rPh sb="4" eb="6">
      <t>シャレイ</t>
    </rPh>
    <rPh sb="6" eb="7">
      <t>カネ</t>
    </rPh>
    <phoneticPr fontId="15"/>
  </si>
  <si>
    <t>予算額</t>
    <rPh sb="0" eb="3">
      <t>ヨサンガク</t>
    </rPh>
    <phoneticPr fontId="1"/>
  </si>
  <si>
    <t>決算額</t>
    <rPh sb="0" eb="2">
      <t>ケッサン</t>
    </rPh>
    <rPh sb="2" eb="3">
      <t>ガク</t>
    </rPh>
    <phoneticPr fontId="15"/>
  </si>
  <si>
    <t>実績報告書</t>
    <rPh sb="0" eb="2">
      <t>ジッセキ</t>
    </rPh>
    <rPh sb="2" eb="5">
      <t>ホウコクショ</t>
    </rPh>
    <phoneticPr fontId="1"/>
  </si>
  <si>
    <t>事業実績等</t>
    <rPh sb="0" eb="2">
      <t>ジギョウ</t>
    </rPh>
    <rPh sb="2" eb="4">
      <t>ジッセキ</t>
    </rPh>
    <rPh sb="4" eb="5">
      <t>トウ</t>
    </rPh>
    <phoneticPr fontId="1"/>
  </si>
  <si>
    <t>(1)</t>
    <phoneticPr fontId="1"/>
  </si>
  <si>
    <t>事業実施期間</t>
    <rPh sb="0" eb="2">
      <t>ジギョウ</t>
    </rPh>
    <rPh sb="2" eb="4">
      <t>ジッシ</t>
    </rPh>
    <rPh sb="4" eb="6">
      <t>キカン</t>
    </rPh>
    <phoneticPr fontId="1"/>
  </si>
  <si>
    <t>(3)</t>
    <phoneticPr fontId="1"/>
  </si>
  <si>
    <t>(4)</t>
    <phoneticPr fontId="1"/>
  </si>
  <si>
    <t>(5)</t>
    <phoneticPr fontId="1"/>
  </si>
  <si>
    <t>事業の効果</t>
    <rPh sb="0" eb="2">
      <t>ジギョウ</t>
    </rPh>
    <rPh sb="3" eb="5">
      <t>コウカ</t>
    </rPh>
    <phoneticPr fontId="1"/>
  </si>
  <si>
    <t>事業実績額</t>
    <rPh sb="0" eb="2">
      <t>ジギョウ</t>
    </rPh>
    <rPh sb="2" eb="4">
      <t>ジッセキ</t>
    </rPh>
    <rPh sb="4" eb="5">
      <t>ガク</t>
    </rPh>
    <phoneticPr fontId="1"/>
  </si>
  <si>
    <t>※　事業実績額の内訳については、別紙「決算書」のとおり報告する。</t>
    <rPh sb="2" eb="4">
      <t>ジギョウ</t>
    </rPh>
    <rPh sb="4" eb="6">
      <t>ジッセキ</t>
    </rPh>
    <rPh sb="6" eb="7">
      <t>ガク</t>
    </rPh>
    <rPh sb="8" eb="10">
      <t>ウチワケ</t>
    </rPh>
    <rPh sb="16" eb="18">
      <t>ベッシ</t>
    </rPh>
    <rPh sb="19" eb="22">
      <t>ケッサンショ</t>
    </rPh>
    <rPh sb="27" eb="29">
      <t>ホウコク</t>
    </rPh>
    <phoneticPr fontId="1"/>
  </si>
  <si>
    <t>※　事業実績額の領収書等については、別添のとおり報告する。　</t>
    <rPh sb="2" eb="4">
      <t>ジギョウ</t>
    </rPh>
    <rPh sb="4" eb="6">
      <t>ジッセキ</t>
    </rPh>
    <rPh sb="6" eb="7">
      <t>ガク</t>
    </rPh>
    <rPh sb="8" eb="11">
      <t>リョウシュウショ</t>
    </rPh>
    <rPh sb="11" eb="12">
      <t>ナド</t>
    </rPh>
    <rPh sb="18" eb="20">
      <t>ベッテン</t>
    </rPh>
    <rPh sb="24" eb="26">
      <t>ホウコク</t>
    </rPh>
    <phoneticPr fontId="1"/>
  </si>
  <si>
    <t>実績報告内容確認書</t>
    <rPh sb="0" eb="2">
      <t>ジッセキ</t>
    </rPh>
    <rPh sb="2" eb="4">
      <t>ホウコク</t>
    </rPh>
    <rPh sb="4" eb="6">
      <t>ナイヨウ</t>
    </rPh>
    <rPh sb="6" eb="9">
      <t>カクニンショ</t>
    </rPh>
    <phoneticPr fontId="1"/>
  </si>
  <si>
    <t>　東京都知事　殿</t>
    <rPh sb="1" eb="4">
      <t>トウキョウト</t>
    </rPh>
    <rPh sb="4" eb="6">
      <t>チジ</t>
    </rPh>
    <rPh sb="7" eb="8">
      <t>ドノ</t>
    </rPh>
    <phoneticPr fontId="1"/>
  </si>
  <si>
    <t>申請代表団体</t>
    <rPh sb="0" eb="2">
      <t>シンセイ</t>
    </rPh>
    <rPh sb="2" eb="4">
      <t>ダイヒョウ</t>
    </rPh>
    <rPh sb="4" eb="6">
      <t>ダンタイ</t>
    </rPh>
    <phoneticPr fontId="1"/>
  </si>
  <si>
    <t>代表者役職・氏名（自署）</t>
    <rPh sb="0" eb="2">
      <t>ダイヒョウ</t>
    </rPh>
    <rPh sb="2" eb="3">
      <t>シャ</t>
    </rPh>
    <rPh sb="3" eb="5">
      <t>ヤクショク</t>
    </rPh>
    <rPh sb="6" eb="8">
      <t>シメイ</t>
    </rPh>
    <rPh sb="9" eb="11">
      <t>ジショ</t>
    </rPh>
    <phoneticPr fontId="1"/>
  </si>
  <si>
    <t>共同実施団体</t>
    <rPh sb="0" eb="2">
      <t>キョウドウ</t>
    </rPh>
    <rPh sb="2" eb="4">
      <t>ジッシ</t>
    </rPh>
    <rPh sb="4" eb="6">
      <t>ダンタイ</t>
    </rPh>
    <phoneticPr fontId="1"/>
  </si>
  <si>
    <t>　令和　年　月　日付けで提出した地域の底力発展事業助成実績報告書の内容について、</t>
    <rPh sb="1" eb="3">
      <t>レイワ</t>
    </rPh>
    <rPh sb="4" eb="5">
      <t>ネン</t>
    </rPh>
    <rPh sb="6" eb="7">
      <t>ガツ</t>
    </rPh>
    <rPh sb="8" eb="10">
      <t>ニチヅケ</t>
    </rPh>
    <rPh sb="12" eb="14">
      <t>テイシュツ</t>
    </rPh>
    <rPh sb="16" eb="18">
      <t>チイキ</t>
    </rPh>
    <rPh sb="19" eb="21">
      <t>ソコヂカラ</t>
    </rPh>
    <rPh sb="21" eb="23">
      <t>ハッテン</t>
    </rPh>
    <rPh sb="23" eb="25">
      <t>ジギョウ</t>
    </rPh>
    <rPh sb="25" eb="27">
      <t>ジョセイ</t>
    </rPh>
    <rPh sb="27" eb="29">
      <t>ジッセキ</t>
    </rPh>
    <rPh sb="29" eb="32">
      <t>ホウコクショ</t>
    </rPh>
    <rPh sb="33" eb="35">
      <t>ナイヨウ</t>
    </rPh>
    <phoneticPr fontId="1"/>
  </si>
  <si>
    <t>実施内容と相違ないことを確認します。</t>
    <rPh sb="2" eb="4">
      <t>ナイヨウ</t>
    </rPh>
    <rPh sb="5" eb="7">
      <t>ソウイ</t>
    </rPh>
    <rPh sb="12" eb="14">
      <t>カクニン</t>
    </rPh>
    <phoneticPr fontId="1"/>
  </si>
  <si>
    <t>Ｃ区分</t>
    <rPh sb="1" eb="3">
      <t>クブン</t>
    </rPh>
    <phoneticPr fontId="1"/>
  </si>
  <si>
    <t>Ｄ区分</t>
    <rPh sb="1" eb="3">
      <t>クブン</t>
    </rPh>
    <phoneticPr fontId="1"/>
  </si>
  <si>
    <t>申請団体</t>
    <rPh sb="0" eb="2">
      <t>シンセイ</t>
    </rPh>
    <rPh sb="2" eb="4">
      <t>ダンタイ</t>
    </rPh>
    <phoneticPr fontId="1"/>
  </si>
  <si>
    <t>連携先団体</t>
    <rPh sb="0" eb="2">
      <t>レンケイ</t>
    </rPh>
    <rPh sb="2" eb="3">
      <t>サキ</t>
    </rPh>
    <rPh sb="3" eb="5">
      <t>ダンタイ</t>
    </rPh>
    <phoneticPr fontId="1"/>
  </si>
  <si>
    <t>代表者役職・氏名（自署）</t>
    <rPh sb="0" eb="2">
      <t>ダイヒョウ</t>
    </rPh>
    <rPh sb="2" eb="3">
      <t>シャ</t>
    </rPh>
    <rPh sb="3" eb="5">
      <t>ヤクショク</t>
    </rPh>
    <phoneticPr fontId="1"/>
  </si>
  <si>
    <t>　　印</t>
    <rPh sb="2" eb="3">
      <t>イン</t>
    </rPh>
    <phoneticPr fontId="1"/>
  </si>
  <si>
    <r>
      <t>２　</t>
    </r>
    <r>
      <rPr>
        <sz val="10"/>
        <color theme="1"/>
        <rFont val="ＭＳ Ｐゴシック"/>
        <family val="3"/>
        <charset val="128"/>
      </rPr>
      <t>助成対象外経費</t>
    </r>
    <rPh sb="2" eb="4">
      <t>ジョセイ</t>
    </rPh>
    <rPh sb="4" eb="7">
      <t>タイショウガイ</t>
    </rPh>
    <rPh sb="7" eb="9">
      <t>ケイヒ</t>
    </rPh>
    <phoneticPr fontId="15"/>
  </si>
  <si>
    <t>リース料</t>
    <phoneticPr fontId="1"/>
  </si>
  <si>
    <t>(単位：円）</t>
    <phoneticPr fontId="1"/>
  </si>
  <si>
    <t>団体名</t>
    <rPh sb="0" eb="2">
      <t>ダンタイ</t>
    </rPh>
    <rPh sb="2" eb="3">
      <t>メイ</t>
    </rPh>
    <phoneticPr fontId="1"/>
  </si>
  <si>
    <t>交付申請時支出内容</t>
    <rPh sb="0" eb="2">
      <t>コウフ</t>
    </rPh>
    <rPh sb="2" eb="5">
      <t>シンセイジ</t>
    </rPh>
    <rPh sb="5" eb="7">
      <t>シシュツ</t>
    </rPh>
    <rPh sb="7" eb="9">
      <t>ナイヨウ</t>
    </rPh>
    <phoneticPr fontId="15"/>
  </si>
  <si>
    <t>実績報告時支出内容</t>
    <rPh sb="0" eb="2">
      <t>ジッセキ</t>
    </rPh>
    <rPh sb="2" eb="4">
      <t>ホウコク</t>
    </rPh>
    <rPh sb="4" eb="5">
      <t>ジ</t>
    </rPh>
    <rPh sb="5" eb="7">
      <t>シシュツ</t>
    </rPh>
    <rPh sb="7" eb="9">
      <t>ナイヨウ</t>
    </rPh>
    <phoneticPr fontId="1"/>
  </si>
  <si>
    <t>交付申請時収入内容</t>
    <rPh sb="0" eb="2">
      <t>コウフ</t>
    </rPh>
    <rPh sb="2" eb="5">
      <t>シンセイジ</t>
    </rPh>
    <rPh sb="5" eb="7">
      <t>シュウニュウ</t>
    </rPh>
    <rPh sb="7" eb="9">
      <t>ナイヨウ</t>
    </rPh>
    <phoneticPr fontId="15"/>
  </si>
  <si>
    <t>実績報告時収入内容</t>
    <rPh sb="0" eb="2">
      <t>ジッセキ</t>
    </rPh>
    <rPh sb="2" eb="4">
      <t>ホウコク</t>
    </rPh>
    <rPh sb="4" eb="5">
      <t>ジ</t>
    </rPh>
    <rPh sb="5" eb="7">
      <t>シュウニュウ</t>
    </rPh>
    <rPh sb="7" eb="9">
      <t>ナイヨウ</t>
    </rPh>
    <phoneticPr fontId="1"/>
  </si>
  <si>
    <t>助成率（自動入力）</t>
    <rPh sb="0" eb="2">
      <t>ジョセイ</t>
    </rPh>
    <rPh sb="2" eb="3">
      <t>リツ</t>
    </rPh>
    <rPh sb="4" eb="6">
      <t>ジドウ</t>
    </rPh>
    <rPh sb="6" eb="8">
      <t>ニュウリョク</t>
    </rPh>
    <phoneticPr fontId="1"/>
  </si>
  <si>
    <t>打合せ回数（数字のみ記入）</t>
    <rPh sb="0" eb="2">
      <t>ウチアワ</t>
    </rPh>
    <rPh sb="3" eb="5">
      <t>カイスウ</t>
    </rPh>
    <rPh sb="6" eb="8">
      <t>スウジ</t>
    </rPh>
    <rPh sb="10" eb="12">
      <t>キニュウ</t>
    </rPh>
    <phoneticPr fontId="1"/>
  </si>
  <si>
    <t>打合せ合計人数（数字のみ記入）</t>
    <rPh sb="0" eb="2">
      <t>ウチアワ</t>
    </rPh>
    <rPh sb="3" eb="5">
      <t>ゴウケイ</t>
    </rPh>
    <rPh sb="5" eb="7">
      <t>ニンズウ</t>
    </rPh>
    <rPh sb="8" eb="10">
      <t>スウジ</t>
    </rPh>
    <rPh sb="12" eb="14">
      <t>キニュウ</t>
    </rPh>
    <phoneticPr fontId="1"/>
  </si>
  <si>
    <t>領収書の日付で最も早い日付</t>
    <rPh sb="0" eb="3">
      <t>リョウシュウショ</t>
    </rPh>
    <rPh sb="4" eb="6">
      <t>ヒヅケ</t>
    </rPh>
    <rPh sb="7" eb="8">
      <t>モット</t>
    </rPh>
    <rPh sb="9" eb="10">
      <t>ハヤ</t>
    </rPh>
    <rPh sb="11" eb="13">
      <t>ヒヅケ</t>
    </rPh>
    <phoneticPr fontId="1"/>
  </si>
  <si>
    <t>領収書の日付で最も遅い日付</t>
    <rPh sb="0" eb="3">
      <t>リョウシュウショ</t>
    </rPh>
    <rPh sb="4" eb="6">
      <t>ヒヅケ</t>
    </rPh>
    <rPh sb="7" eb="8">
      <t>モット</t>
    </rPh>
    <rPh sb="9" eb="10">
      <t>オソ</t>
    </rPh>
    <rPh sb="11" eb="13">
      <t>ヒヅケ</t>
    </rPh>
    <phoneticPr fontId="1"/>
  </si>
  <si>
    <t>単価(税込)</t>
    <rPh sb="0" eb="2">
      <t>タンカ</t>
    </rPh>
    <rPh sb="3" eb="5">
      <t>ゼイコミ</t>
    </rPh>
    <phoneticPr fontId="15"/>
  </si>
  <si>
    <t>金額(税込)</t>
    <rPh sb="0" eb="2">
      <t>キンガク</t>
    </rPh>
    <phoneticPr fontId="15"/>
  </si>
  <si>
    <t xml:space="preserve">令和　　年　　月　　日  </t>
    <phoneticPr fontId="1"/>
  </si>
  <si>
    <t>印</t>
    <phoneticPr fontId="1"/>
  </si>
  <si>
    <t>団体名（申請時の内容が自動転記）</t>
    <rPh sb="0" eb="2">
      <t>ダンタイ</t>
    </rPh>
    <rPh sb="2" eb="3">
      <t>メイ</t>
    </rPh>
    <rPh sb="4" eb="7">
      <t>シンセイジ</t>
    </rPh>
    <rPh sb="8" eb="10">
      <t>ナイヨウ</t>
    </rPh>
    <rPh sb="11" eb="13">
      <t>ジドウ</t>
    </rPh>
    <rPh sb="13" eb="15">
      <t>テンキ</t>
    </rPh>
    <phoneticPr fontId="1"/>
  </si>
  <si>
    <t>団体の種類（申請時の内容が自動転記）</t>
    <rPh sb="0" eb="2">
      <t>ダンタイ</t>
    </rPh>
    <rPh sb="3" eb="5">
      <t>シュルイ</t>
    </rPh>
    <rPh sb="6" eb="9">
      <t>シンセイジ</t>
    </rPh>
    <rPh sb="10" eb="12">
      <t>ナイヨウ</t>
    </rPh>
    <rPh sb="13" eb="15">
      <t>ジドウ</t>
    </rPh>
    <rPh sb="15" eb="17">
      <t>テンキ</t>
    </rPh>
    <phoneticPr fontId="1"/>
  </si>
  <si>
    <t>代表者役職（申請時の内容が自動転記）</t>
    <rPh sb="0" eb="2">
      <t>ダイヒョウ</t>
    </rPh>
    <rPh sb="2" eb="3">
      <t>シャ</t>
    </rPh>
    <rPh sb="3" eb="5">
      <t>ヤクショク</t>
    </rPh>
    <rPh sb="6" eb="9">
      <t>シンセイジ</t>
    </rPh>
    <rPh sb="10" eb="12">
      <t>ナイヨウ</t>
    </rPh>
    <rPh sb="13" eb="15">
      <t>ジドウ</t>
    </rPh>
    <rPh sb="15" eb="17">
      <t>テンキ</t>
    </rPh>
    <phoneticPr fontId="1"/>
  </si>
  <si>
    <t>代表者氏名（申請時の内容が自動転記）</t>
    <rPh sb="0" eb="2">
      <t>ダイヒョウ</t>
    </rPh>
    <rPh sb="2" eb="3">
      <t>シャ</t>
    </rPh>
    <rPh sb="3" eb="5">
      <t>シメイ</t>
    </rPh>
    <phoneticPr fontId="1"/>
  </si>
  <si>
    <t>電話番号（申請時の内容が自動転記）</t>
    <rPh sb="0" eb="2">
      <t>デンワ</t>
    </rPh>
    <rPh sb="2" eb="4">
      <t>バンゴウ</t>
    </rPh>
    <phoneticPr fontId="1"/>
  </si>
  <si>
    <t>連絡責任者役職（申請時の内容が自動転記）</t>
    <rPh sb="0" eb="2">
      <t>レンラク</t>
    </rPh>
    <rPh sb="2" eb="4">
      <t>セキニン</t>
    </rPh>
    <rPh sb="4" eb="5">
      <t>シャ</t>
    </rPh>
    <rPh sb="5" eb="7">
      <t>ヤクショク</t>
    </rPh>
    <phoneticPr fontId="1"/>
  </si>
  <si>
    <t>連絡責任者氏名（申請時の内容が自動転記）</t>
    <rPh sb="0" eb="2">
      <t>レンラク</t>
    </rPh>
    <rPh sb="2" eb="4">
      <t>セキニン</t>
    </rPh>
    <rPh sb="4" eb="5">
      <t>シャ</t>
    </rPh>
    <rPh sb="5" eb="7">
      <t>シメイ</t>
    </rPh>
    <phoneticPr fontId="1"/>
  </si>
  <si>
    <t>連絡責任者ＦＡＸ番号（申請時の内容が自動転記）</t>
    <rPh sb="0" eb="2">
      <t>レンラク</t>
    </rPh>
    <rPh sb="2" eb="4">
      <t>セキニン</t>
    </rPh>
    <rPh sb="4" eb="5">
      <t>シャ</t>
    </rPh>
    <rPh sb="8" eb="10">
      <t>バンゴウ</t>
    </rPh>
    <phoneticPr fontId="1"/>
  </si>
  <si>
    <t>連絡責任者メールアドレス（申請時の内容が自動転記）</t>
    <rPh sb="0" eb="2">
      <t>レンラク</t>
    </rPh>
    <rPh sb="2" eb="4">
      <t>セキニン</t>
    </rPh>
    <rPh sb="4" eb="5">
      <t>シャ</t>
    </rPh>
    <phoneticPr fontId="1"/>
  </si>
  <si>
    <t>自己資金</t>
    <rPh sb="0" eb="2">
      <t>ジコ</t>
    </rPh>
    <rPh sb="2" eb="4">
      <t>シキン</t>
    </rPh>
    <phoneticPr fontId="1"/>
  </si>
  <si>
    <t>地域の底力発展事業助成金</t>
    <rPh sb="0" eb="2">
      <t>チイキ</t>
    </rPh>
    <rPh sb="3" eb="11">
      <t>ソコヂカラハッテンジギョウジョセイ</t>
    </rPh>
    <rPh sb="11" eb="12">
      <t>キン</t>
    </rPh>
    <phoneticPr fontId="1"/>
  </si>
  <si>
    <t>第７号様式</t>
    <rPh sb="0" eb="1">
      <t>ダイ</t>
    </rPh>
    <rPh sb="2" eb="3">
      <t>ゴウ</t>
    </rPh>
    <rPh sb="3" eb="5">
      <t>ヨウシキ</t>
    </rPh>
    <phoneticPr fontId="1"/>
  </si>
  <si>
    <t>変更承認申請書</t>
    <rPh sb="0" eb="2">
      <t>ヘンコウ</t>
    </rPh>
    <rPh sb="2" eb="4">
      <t>ショウニン</t>
    </rPh>
    <rPh sb="4" eb="6">
      <t>シンセイ</t>
    </rPh>
    <rPh sb="6" eb="7">
      <t>ショ</t>
    </rPh>
    <phoneticPr fontId="1"/>
  </si>
  <si>
    <t>助成事業名</t>
    <rPh sb="0" eb="2">
      <t>ジョセイ</t>
    </rPh>
    <rPh sb="2" eb="4">
      <t>ジギョウ</t>
    </rPh>
    <rPh sb="4" eb="5">
      <t>メイ</t>
    </rPh>
    <phoneticPr fontId="1"/>
  </si>
  <si>
    <t>変更の内容</t>
    <rPh sb="0" eb="2">
      <t>ヘンコウ</t>
    </rPh>
    <rPh sb="3" eb="5">
      <t>ナイヨウ</t>
    </rPh>
    <phoneticPr fontId="1"/>
  </si>
  <si>
    <t>変更の理由</t>
    <rPh sb="0" eb="2">
      <t>ヘンコウ</t>
    </rPh>
    <rPh sb="3" eb="5">
      <t>リユウ</t>
    </rPh>
    <phoneticPr fontId="1"/>
  </si>
  <si>
    <t>変更に伴う経費の積算明細書（※経費に変更がある場合）</t>
    <rPh sb="0" eb="2">
      <t>ヘンコウ</t>
    </rPh>
    <rPh sb="3" eb="4">
      <t>トモナ</t>
    </rPh>
    <rPh sb="5" eb="7">
      <t>ケイヒ</t>
    </rPh>
    <rPh sb="8" eb="10">
      <t>セキサン</t>
    </rPh>
    <rPh sb="10" eb="13">
      <t>メイサイショ</t>
    </rPh>
    <rPh sb="15" eb="17">
      <t>ケイヒ</t>
    </rPh>
    <rPh sb="18" eb="20">
      <t>ヘンコウ</t>
    </rPh>
    <rPh sb="23" eb="25">
      <t>バアイ</t>
    </rPh>
    <phoneticPr fontId="1"/>
  </si>
  <si>
    <t>所在地等（郵便番号以降）</t>
    <rPh sb="0" eb="4">
      <t>ショザイチトウ</t>
    </rPh>
    <rPh sb="5" eb="9">
      <t>ユウビンバンゴウ</t>
    </rPh>
    <rPh sb="9" eb="11">
      <t>イコウ</t>
    </rPh>
    <phoneticPr fontId="1"/>
  </si>
  <si>
    <t>連絡責任者所在地等（郵便番号以降）</t>
    <rPh sb="0" eb="5">
      <t>レンラクセキニンシャ</t>
    </rPh>
    <rPh sb="5" eb="8">
      <t>ショザイチ</t>
    </rPh>
    <rPh sb="8" eb="9">
      <t>トウ</t>
    </rPh>
    <phoneticPr fontId="1"/>
  </si>
  <si>
    <t>所在地等（郵便番号）（申請時の内容が自動転記）</t>
    <rPh sb="11" eb="14">
      <t>シンセイジ</t>
    </rPh>
    <rPh sb="15" eb="17">
      <t>ナイヨウ</t>
    </rPh>
    <rPh sb="18" eb="22">
      <t>ジドウテンキ</t>
    </rPh>
    <phoneticPr fontId="1"/>
  </si>
  <si>
    <t>所在地等（郵便番号以降）（申請時の内容が自動転記）</t>
    <rPh sb="0" eb="4">
      <t>ショザイチトウ</t>
    </rPh>
    <rPh sb="5" eb="9">
      <t>ユウビンバンゴウ</t>
    </rPh>
    <rPh sb="9" eb="11">
      <t>イコウ</t>
    </rPh>
    <rPh sb="13" eb="16">
      <t>シンセイジ</t>
    </rPh>
    <rPh sb="17" eb="19">
      <t>ナイヨウ</t>
    </rPh>
    <rPh sb="20" eb="22">
      <t>ジドウ</t>
    </rPh>
    <rPh sb="22" eb="24">
      <t>テンキ</t>
    </rPh>
    <phoneticPr fontId="1"/>
  </si>
  <si>
    <t>連絡責任者所在地等（郵便番号）（申請時の内容が自動転記）</t>
    <rPh sb="0" eb="5">
      <t>レンラクセキニンシャ</t>
    </rPh>
    <rPh sb="5" eb="8">
      <t>ショザイチ</t>
    </rPh>
    <rPh sb="8" eb="9">
      <t>トウ</t>
    </rPh>
    <rPh sb="10" eb="14">
      <t>ユウビンバンゴウ</t>
    </rPh>
    <phoneticPr fontId="1"/>
  </si>
  <si>
    <t>連絡責任者所在地等（郵便番号以降）（申請時の内容が自動転記）</t>
    <rPh sb="0" eb="5">
      <t>レンラクセキニンシャ</t>
    </rPh>
    <rPh sb="5" eb="8">
      <t>ショザイチ</t>
    </rPh>
    <rPh sb="8" eb="9">
      <t>トウ</t>
    </rPh>
    <rPh sb="10" eb="14">
      <t>ユウビンバンゴウ</t>
    </rPh>
    <rPh sb="14" eb="16">
      <t>イコウ</t>
    </rPh>
    <phoneticPr fontId="1"/>
  </si>
  <si>
    <t>今回申請する区分</t>
    <phoneticPr fontId="1"/>
  </si>
  <si>
    <t>助成申請額</t>
    <phoneticPr fontId="1"/>
  </si>
  <si>
    <t>交付決定年月日</t>
    <rPh sb="0" eb="2">
      <t>コウフ</t>
    </rPh>
    <rPh sb="2" eb="4">
      <t>ケッテイ</t>
    </rPh>
    <rPh sb="4" eb="7">
      <t>ネンガッピ</t>
    </rPh>
    <phoneticPr fontId="1"/>
  </si>
  <si>
    <t>別紙　変更に伴う経費の積算明細書</t>
    <rPh sb="0" eb="2">
      <t>ベッシ</t>
    </rPh>
    <phoneticPr fontId="15"/>
  </si>
  <si>
    <t xml:space="preserve">団　　体　　名 </t>
    <rPh sb="0" eb="1">
      <t>ダン</t>
    </rPh>
    <rPh sb="3" eb="4">
      <t>カラダ</t>
    </rPh>
    <rPh sb="6" eb="7">
      <t>メイ</t>
    </rPh>
    <phoneticPr fontId="15"/>
  </si>
  <si>
    <t>申請時</t>
    <rPh sb="0" eb="2">
      <t>シンセイ</t>
    </rPh>
    <rPh sb="2" eb="3">
      <t>ジ</t>
    </rPh>
    <phoneticPr fontId="15"/>
  </si>
  <si>
    <t>変更後</t>
    <rPh sb="0" eb="2">
      <t>ヘンコウ</t>
    </rPh>
    <rPh sb="2" eb="3">
      <t>ゴ</t>
    </rPh>
    <phoneticPr fontId="15"/>
  </si>
  <si>
    <t>差額</t>
    <rPh sb="0" eb="2">
      <t>サガク</t>
    </rPh>
    <phoneticPr fontId="15"/>
  </si>
  <si>
    <t>変更理由</t>
    <rPh sb="0" eb="2">
      <t>ヘンコウ</t>
    </rPh>
    <rPh sb="2" eb="4">
      <t>リユウ</t>
    </rPh>
    <phoneticPr fontId="15"/>
  </si>
  <si>
    <t>金額（税込）</t>
    <rPh sb="0" eb="2">
      <t>キンガク</t>
    </rPh>
    <rPh sb="3" eb="5">
      <t>ゼイコミ</t>
    </rPh>
    <phoneticPr fontId="15"/>
  </si>
  <si>
    <t>助成対象経費</t>
    <rPh sb="0" eb="2">
      <t>ジョセイ</t>
    </rPh>
    <rPh sb="2" eb="4">
      <t>タイショウ</t>
    </rPh>
    <rPh sb="4" eb="6">
      <t>ケイヒ</t>
    </rPh>
    <phoneticPr fontId="15"/>
  </si>
  <si>
    <t>計</t>
    <rPh sb="0" eb="1">
      <t>ケイ</t>
    </rPh>
    <phoneticPr fontId="15"/>
  </si>
  <si>
    <t>変更に伴う経費の積算明細書（※経費に変更がある場合）</t>
    <phoneticPr fontId="1"/>
  </si>
  <si>
    <t xml:space="preserve">令和　　年　　月　　日  </t>
    <rPh sb="0" eb="2">
      <t>レイワ</t>
    </rPh>
    <rPh sb="4" eb="5">
      <t>ネン</t>
    </rPh>
    <rPh sb="7" eb="8">
      <t>ガツ</t>
    </rPh>
    <rPh sb="10" eb="11">
      <t>ヒ</t>
    </rPh>
    <phoneticPr fontId="1"/>
  </si>
  <si>
    <t>収支予算書に謝礼金の計上はありましたか</t>
    <rPh sb="0" eb="2">
      <t>シュウシ</t>
    </rPh>
    <rPh sb="2" eb="5">
      <t>ヨサンショ</t>
    </rPh>
    <rPh sb="10" eb="12">
      <t>ケイジョウ</t>
    </rPh>
    <phoneticPr fontId="1"/>
  </si>
  <si>
    <t>収支予算書に物品購入費の計上はありましたか</t>
    <rPh sb="0" eb="5">
      <t>シュウシヨサンショ</t>
    </rPh>
    <rPh sb="12" eb="14">
      <t>ケイジョウ</t>
    </rPh>
    <phoneticPr fontId="1"/>
  </si>
  <si>
    <t>収支予算書に印刷経費の計上はありましたか</t>
    <rPh sb="0" eb="2">
      <t>シュウシ</t>
    </rPh>
    <rPh sb="2" eb="5">
      <t>ヨサンショ</t>
    </rPh>
    <rPh sb="6" eb="8">
      <t>インサツ</t>
    </rPh>
    <rPh sb="8" eb="10">
      <t>ケイヒ</t>
    </rPh>
    <rPh sb="11" eb="13">
      <t>ケイジョウ</t>
    </rPh>
    <phoneticPr fontId="1"/>
  </si>
  <si>
    <t>収支予算書に役務費の計上はありましたか</t>
    <rPh sb="0" eb="5">
      <t>シュウシヨサンショ</t>
    </rPh>
    <rPh sb="10" eb="12">
      <t>ケイジョウ</t>
    </rPh>
    <phoneticPr fontId="1"/>
  </si>
  <si>
    <t>収支予算書にレンタル・リース料の計上はありましたか</t>
    <rPh sb="0" eb="5">
      <t>シュウシヨサンショ</t>
    </rPh>
    <rPh sb="16" eb="18">
      <t>ケイジョウ</t>
    </rPh>
    <phoneticPr fontId="1"/>
  </si>
  <si>
    <t>収支予算書に助成対象外経費の計上はありましたか</t>
    <rPh sb="0" eb="5">
      <t>シュウシヨサンショ</t>
    </rPh>
    <rPh sb="14" eb="16">
      <t>ケイジョウ</t>
    </rPh>
    <phoneticPr fontId="1"/>
  </si>
  <si>
    <t>※該当する場合、プルダウンから☑を選択</t>
    <rPh sb="1" eb="3">
      <t>ガイトウ</t>
    </rPh>
    <rPh sb="5" eb="7">
      <t>バアイ</t>
    </rPh>
    <rPh sb="17" eb="19">
      <t>センタク</t>
    </rPh>
    <phoneticPr fontId="1"/>
  </si>
  <si>
    <r>
      <t>※該当する場合、</t>
    </r>
    <r>
      <rPr>
        <b/>
        <u/>
        <sz val="11"/>
        <color theme="1"/>
        <rFont val="游ゴシック"/>
        <family val="3"/>
        <charset val="128"/>
        <scheme val="minor"/>
      </rPr>
      <t>内容を手入力</t>
    </r>
    <rPh sb="1" eb="3">
      <t>ガイトウ</t>
    </rPh>
    <rPh sb="5" eb="7">
      <t>バアイ</t>
    </rPh>
    <rPh sb="8" eb="10">
      <t>ナイヨウ</t>
    </rPh>
    <rPh sb="11" eb="12">
      <t>テ</t>
    </rPh>
    <rPh sb="12" eb="14">
      <t>ニュウリョク</t>
    </rPh>
    <phoneticPr fontId="1"/>
  </si>
  <si>
    <t>※該当する区分欄の１か所のみに○を付けてください。</t>
    <phoneticPr fontId="1"/>
  </si>
  <si>
    <t>円</t>
    <phoneticPr fontId="1"/>
  </si>
  <si>
    <t>代表者
役職・氏名</t>
    <phoneticPr fontId="1"/>
  </si>
  <si>
    <t>別添のとおり</t>
    <phoneticPr fontId="1"/>
  </si>
  <si>
    <t>事業助成金交付要綱第１８の規定に基づき、関係資料を添えて下記のとおり報告します。</t>
    <phoneticPr fontId="1"/>
  </si>
  <si>
    <t>について、下記のとおり内容を変更したいので、令和７年度地域の底力発展事業助成金交付要綱</t>
    <phoneticPr fontId="1"/>
  </si>
  <si>
    <t>第１３　１の規定に基づき、申請します。</t>
    <rPh sb="13" eb="15">
      <t>シンセイ</t>
    </rPh>
    <phoneticPr fontId="1"/>
  </si>
  <si>
    <t>電話番号</t>
    <phoneticPr fontId="1"/>
  </si>
  <si>
    <t>氏名</t>
    <rPh sb="0" eb="2">
      <t>シメイ</t>
    </rPh>
    <phoneticPr fontId="1"/>
  </si>
  <si>
    <t>役職</t>
    <rPh sb="0" eb="2">
      <t>ヤクショク</t>
    </rPh>
    <phoneticPr fontId="1"/>
  </si>
  <si>
    <t>メール
アドレス</t>
    <phoneticPr fontId="1"/>
  </si>
  <si>
    <t>（連絡責任者）</t>
    <rPh sb="1" eb="3">
      <t>レンラク</t>
    </rPh>
    <rPh sb="3" eb="5">
      <t>セキニン</t>
    </rPh>
    <rPh sb="5" eb="6">
      <t>シャ</t>
    </rPh>
    <phoneticPr fontId="1"/>
  </si>
  <si>
    <t>※申請を行う町会・自治会又は区市町村の担当者に限ります。</t>
    <phoneticPr fontId="1"/>
  </si>
  <si>
    <t>代表者
役職・氏名</t>
    <phoneticPr fontId="1"/>
  </si>
  <si>
    <t>役職</t>
    <rPh sb="0" eb="2">
      <t>ヤクショク</t>
    </rPh>
    <phoneticPr fontId="1"/>
  </si>
  <si>
    <t>所在地等</t>
    <rPh sb="0" eb="3">
      <t>ショザイチ</t>
    </rPh>
    <rPh sb="3" eb="4">
      <t>トウ</t>
    </rPh>
    <phoneticPr fontId="1"/>
  </si>
  <si>
    <t>メール
アドレス</t>
    <phoneticPr fontId="1"/>
  </si>
  <si>
    <t>氏名</t>
    <rPh sb="0" eb="2">
      <t>シメイ</t>
    </rPh>
    <phoneticPr fontId="1"/>
  </si>
  <si>
    <t>（連絡責任者）</t>
    <rPh sb="1" eb="3">
      <t>レンラク</t>
    </rPh>
    <rPh sb="3" eb="5">
      <t>セキニン</t>
    </rPh>
    <rPh sb="5" eb="6">
      <t>シャ</t>
    </rPh>
    <phoneticPr fontId="1"/>
  </si>
  <si>
    <t>代表者
役職・氏名</t>
    <rPh sb="0" eb="2">
      <t>ダイヒョウ</t>
    </rPh>
    <rPh sb="2" eb="3">
      <t>シャ</t>
    </rPh>
    <rPh sb="4" eb="6">
      <t>ヤクショク</t>
    </rPh>
    <rPh sb="7" eb="9">
      <t>シメイ</t>
    </rPh>
    <phoneticPr fontId="1"/>
  </si>
  <si>
    <t>所在地等</t>
    <rPh sb="0" eb="3">
      <t>ショザイチ</t>
    </rPh>
    <rPh sb="3" eb="4">
      <t>トウ</t>
    </rPh>
    <phoneticPr fontId="1"/>
  </si>
  <si>
    <t>ＦＡＸ番号</t>
    <phoneticPr fontId="1"/>
  </si>
  <si>
    <t>ＦＡＸ番号</t>
    <phoneticPr fontId="1"/>
  </si>
  <si>
    <t>（連絡責任者）</t>
    <rPh sb="1" eb="6">
      <t>レンラクセキニンシャ</t>
    </rPh>
    <phoneticPr fontId="1"/>
  </si>
  <si>
    <t>に基づき下記のとおり申請します。</t>
    <phoneticPr fontId="1"/>
  </si>
  <si>
    <t>　なお、当団体は要綱第４　１ただし書に該当せず、第９　３並びに第２２及び第２３の規定に異議なく応じ</t>
    <rPh sb="47" eb="48">
      <t>オウ</t>
    </rPh>
    <phoneticPr fontId="1"/>
  </si>
  <si>
    <t>ることを誓約します。</t>
    <phoneticPr fontId="1"/>
  </si>
  <si>
    <t>支出内容（事業での活用方法が分かるよう記載）</t>
    <rPh sb="0" eb="2">
      <t>シシュツ</t>
    </rPh>
    <rPh sb="2" eb="4">
      <t>ナイヨウ</t>
    </rPh>
    <rPh sb="5" eb="7">
      <t>ジギョウ</t>
    </rPh>
    <rPh sb="9" eb="11">
      <t>カツヨウ</t>
    </rPh>
    <rPh sb="11" eb="13">
      <t>ホウホウ</t>
    </rPh>
    <rPh sb="14" eb="15">
      <t>ワ</t>
    </rPh>
    <rPh sb="19" eb="21">
      <t>キサイ</t>
    </rPh>
    <phoneticPr fontId="15"/>
  </si>
  <si>
    <t>※　金額が５万円を超える経費は、見積書、引受書等の金額の根拠が分かるものを添付してください。</t>
    <rPh sb="2" eb="4">
      <t>キンガク</t>
    </rPh>
    <rPh sb="6" eb="8">
      <t>マンエン</t>
    </rPh>
    <rPh sb="9" eb="10">
      <t>コ</t>
    </rPh>
    <rPh sb="12" eb="14">
      <t>ケイヒ</t>
    </rPh>
    <rPh sb="16" eb="19">
      <t>ミツモリショ</t>
    </rPh>
    <rPh sb="20" eb="21">
      <t>ヒ</t>
    </rPh>
    <rPh sb="21" eb="22">
      <t>ウ</t>
    </rPh>
    <rPh sb="22" eb="23">
      <t>ショ</t>
    </rPh>
    <rPh sb="23" eb="24">
      <t>トウ</t>
    </rPh>
    <rPh sb="25" eb="27">
      <t>キンガク</t>
    </rPh>
    <rPh sb="28" eb="30">
      <t>コンキョ</t>
    </rPh>
    <rPh sb="31" eb="32">
      <t>ワ</t>
    </rPh>
    <rPh sb="37" eb="39">
      <t>テンプ</t>
    </rPh>
    <phoneticPr fontId="1"/>
  </si>
  <si>
    <r>
      <t xml:space="preserve">電話番号
</t>
    </r>
    <r>
      <rPr>
        <sz val="8"/>
        <color theme="1"/>
        <rFont val="ＭＳ 明朝"/>
        <family val="1"/>
        <charset val="128"/>
      </rPr>
      <t>(①自宅/職場)</t>
    </r>
    <r>
      <rPr>
        <sz val="11"/>
        <color theme="1"/>
        <rFont val="ＭＳ 明朝"/>
        <family val="1"/>
        <charset val="128"/>
      </rPr>
      <t xml:space="preserve">
</t>
    </r>
    <r>
      <rPr>
        <sz val="8"/>
        <color theme="1"/>
        <rFont val="ＭＳ 明朝"/>
        <family val="1"/>
        <charset val="128"/>
      </rPr>
      <t>(②携帯電話)</t>
    </r>
    <rPh sb="7" eb="9">
      <t>ジタク</t>
    </rPh>
    <rPh sb="10" eb="12">
      <t>ショクバ</t>
    </rPh>
    <rPh sb="16" eb="20">
      <t>ケイタイデンワ</t>
    </rPh>
    <phoneticPr fontId="1"/>
  </si>
  <si>
    <t>連絡責任者電話番号(自宅・職場)(申請時の内容が自動転記)</t>
    <rPh sb="0" eb="2">
      <t>レンラク</t>
    </rPh>
    <rPh sb="2" eb="4">
      <t>セキニン</t>
    </rPh>
    <rPh sb="4" eb="5">
      <t>シャ</t>
    </rPh>
    <rPh sb="5" eb="7">
      <t>デンワ</t>
    </rPh>
    <rPh sb="7" eb="9">
      <t>バンゴウ</t>
    </rPh>
    <rPh sb="10" eb="12">
      <t>ジタク</t>
    </rPh>
    <rPh sb="13" eb="15">
      <t>ショクバ</t>
    </rPh>
    <phoneticPr fontId="1"/>
  </si>
  <si>
    <t>連絡責任者電話番号(携帯電話)(申請時の内容が自動転記)</t>
    <rPh sb="16" eb="19">
      <t>シンセイジ</t>
    </rPh>
    <rPh sb="20" eb="22">
      <t>ナイヨウ</t>
    </rPh>
    <rPh sb="23" eb="25">
      <t>ジドウ</t>
    </rPh>
    <rPh sb="25" eb="27">
      <t>テンキ</t>
    </rPh>
    <phoneticPr fontId="1"/>
  </si>
  <si>
    <t>今回申し込む対象事業</t>
    <rPh sb="0" eb="2">
      <t>コンカイ</t>
    </rPh>
    <rPh sb="2" eb="3">
      <t>モウ</t>
    </rPh>
    <rPh sb="4" eb="5">
      <t>コ</t>
    </rPh>
    <rPh sb="6" eb="8">
      <t>タイショウ</t>
    </rPh>
    <rPh sb="8" eb="10">
      <t>ジギョウ</t>
    </rPh>
    <phoneticPr fontId="1"/>
  </si>
  <si>
    <t>今回講師の派遣に加えて助成金申請を行いますか</t>
    <rPh sb="0" eb="2">
      <t>コンカイ</t>
    </rPh>
    <rPh sb="2" eb="4">
      <t>コウシ</t>
    </rPh>
    <rPh sb="5" eb="7">
      <t>ハケン</t>
    </rPh>
    <rPh sb="8" eb="9">
      <t>クワ</t>
    </rPh>
    <rPh sb="11" eb="14">
      <t>ジョセイキン</t>
    </rPh>
    <rPh sb="14" eb="16">
      <t>シンセイ</t>
    </rPh>
    <rPh sb="17" eb="18">
      <t>オコナ</t>
    </rPh>
    <phoneticPr fontId="1"/>
  </si>
  <si>
    <t>助成金申請の区分（自動入力）</t>
    <rPh sb="0" eb="2">
      <t>ジョセイ</t>
    </rPh>
    <rPh sb="2" eb="3">
      <t>キン</t>
    </rPh>
    <rPh sb="3" eb="5">
      <t>シンセイ</t>
    </rPh>
    <rPh sb="6" eb="8">
      <t>クブン</t>
    </rPh>
    <rPh sb="9" eb="11">
      <t>ジドウ</t>
    </rPh>
    <rPh sb="11" eb="13">
      <t>ニュウリョク</t>
    </rPh>
    <phoneticPr fontId="1"/>
  </si>
  <si>
    <t>実施会場名</t>
    <rPh sb="0" eb="2">
      <t>ジッシ</t>
    </rPh>
    <rPh sb="2" eb="4">
      <t>カイジョウ</t>
    </rPh>
    <rPh sb="4" eb="5">
      <t>メイ</t>
    </rPh>
    <phoneticPr fontId="1"/>
  </si>
  <si>
    <t>実施会場住所</t>
    <rPh sb="0" eb="2">
      <t>ジッシ</t>
    </rPh>
    <rPh sb="2" eb="4">
      <t>カイジョウ</t>
    </rPh>
    <rPh sb="4" eb="6">
      <t>ジュウショ</t>
    </rPh>
    <phoneticPr fontId="1"/>
  </si>
  <si>
    <t>事業期間（開始日）</t>
    <rPh sb="0" eb="2">
      <t>ジギョウ</t>
    </rPh>
    <rPh sb="2" eb="4">
      <t>キカン</t>
    </rPh>
    <rPh sb="5" eb="7">
      <t>カイシ</t>
    </rPh>
    <rPh sb="7" eb="8">
      <t>ビ</t>
    </rPh>
    <phoneticPr fontId="1"/>
  </si>
  <si>
    <t>事業期間（終了日）</t>
    <rPh sb="0" eb="2">
      <t>ジギョウ</t>
    </rPh>
    <rPh sb="2" eb="4">
      <t>キカン</t>
    </rPh>
    <rPh sb="5" eb="8">
      <t>シュウリョウビ</t>
    </rPh>
    <phoneticPr fontId="1"/>
  </si>
  <si>
    <t>←入力例：13:00　24時間標記で入力してください</t>
    <rPh sb="1" eb="3">
      <t>ニュウリョク</t>
    </rPh>
    <rPh sb="3" eb="4">
      <t>レイ</t>
    </rPh>
    <rPh sb="13" eb="15">
      <t>ジカン</t>
    </rPh>
    <rPh sb="15" eb="17">
      <t>ヒョウキ</t>
    </rPh>
    <rPh sb="18" eb="20">
      <t>ニュウリョク</t>
    </rPh>
    <phoneticPr fontId="1"/>
  </si>
  <si>
    <t>← 2025/6/2 のように入力してください</t>
    <rPh sb="15" eb="17">
      <t>ニュウリョク</t>
    </rPh>
    <phoneticPr fontId="1"/>
  </si>
  <si>
    <t>第３－１号様式</t>
    <rPh sb="0" eb="1">
      <t>ダイ</t>
    </rPh>
    <rPh sb="4" eb="5">
      <t>ゴウ</t>
    </rPh>
    <rPh sb="5" eb="7">
      <t>ヨウシキ</t>
    </rPh>
    <phoneticPr fontId="15"/>
  </si>
  <si>
    <t>第１－１号様式</t>
    <rPh sb="0" eb="1">
      <t>ダイ</t>
    </rPh>
    <rPh sb="4" eb="5">
      <t>ゴウ</t>
    </rPh>
    <rPh sb="5" eb="7">
      <t>ヨウシキ</t>
    </rPh>
    <phoneticPr fontId="1"/>
  </si>
  <si>
    <t>寄付金など、助成金以外の収入はありますか</t>
    <phoneticPr fontId="1"/>
  </si>
  <si>
    <t>令和７年度地域の底力発展事業助成金交付申請書兼</t>
    <rPh sb="0" eb="2">
      <t>レイワ</t>
    </rPh>
    <rPh sb="3" eb="5">
      <t>ネンド</t>
    </rPh>
    <rPh sb="5" eb="7">
      <t>チイキ</t>
    </rPh>
    <rPh sb="8" eb="10">
      <t>ソコヂカラ</t>
    </rPh>
    <rPh sb="10" eb="12">
      <t>ハッテン</t>
    </rPh>
    <rPh sb="12" eb="14">
      <t>ジギョウ</t>
    </rPh>
    <rPh sb="14" eb="16">
      <t>ジョセイ</t>
    </rPh>
    <rPh sb="16" eb="17">
      <t>キン</t>
    </rPh>
    <rPh sb="17" eb="19">
      <t>コウフ</t>
    </rPh>
    <rPh sb="19" eb="22">
      <t>シンセイショ</t>
    </rPh>
    <rPh sb="22" eb="23">
      <t>ケン</t>
    </rPh>
    <phoneticPr fontId="1"/>
  </si>
  <si>
    <t>「高齢者向けスマートフォン教室」（講師おまかせスマホ教室）講師派遣申込書</t>
    <rPh sb="1" eb="4">
      <t>コウレイシャ</t>
    </rPh>
    <rPh sb="4" eb="5">
      <t>ム</t>
    </rPh>
    <rPh sb="13" eb="15">
      <t>キョウシツ</t>
    </rPh>
    <rPh sb="17" eb="19">
      <t>コウシ</t>
    </rPh>
    <rPh sb="26" eb="28">
      <t>キョウシツ</t>
    </rPh>
    <rPh sb="29" eb="31">
      <t>コウシ</t>
    </rPh>
    <rPh sb="31" eb="33">
      <t>ハケン</t>
    </rPh>
    <rPh sb="33" eb="36">
      <t>モウシコミショ</t>
    </rPh>
    <phoneticPr fontId="1"/>
  </si>
  <si>
    <t>事業名</t>
    <rPh sb="0" eb="2">
      <t>ジギョウ</t>
    </rPh>
    <rPh sb="2" eb="3">
      <t>メイ</t>
    </rPh>
    <phoneticPr fontId="1"/>
  </si>
  <si>
    <t>「高齢者向けスマートフォン教室」（講師おまかせスマホ教室）</t>
    <rPh sb="1" eb="5">
      <t>コウレイシャム</t>
    </rPh>
    <rPh sb="13" eb="15">
      <t>キョウシツ</t>
    </rPh>
    <rPh sb="17" eb="19">
      <t>コウシ</t>
    </rPh>
    <rPh sb="26" eb="28">
      <t>キョウシツ</t>
    </rPh>
    <phoneticPr fontId="1"/>
  </si>
  <si>
    <t>実施内容</t>
    <rPh sb="0" eb="2">
      <t>ジッシ</t>
    </rPh>
    <rPh sb="2" eb="4">
      <t>ナイヨウ</t>
    </rPh>
    <phoneticPr fontId="1"/>
  </si>
  <si>
    <t>※　第３－１号様式「収支予算書」の助成金収入と
　同額を記入（千円単位。端数は切捨て）</t>
    <phoneticPr fontId="1"/>
  </si>
  <si>
    <t>※Ｃ区分、Ｄ区分で助成金申請する団体は、別紙「事業の共同実施・連携実施に係る合意書兼委任状」を</t>
    <rPh sb="1" eb="3">
      <t>クブン</t>
    </rPh>
    <rPh sb="5" eb="7">
      <t>クブン</t>
    </rPh>
    <rPh sb="8" eb="11">
      <t>ジョセイキン</t>
    </rPh>
    <rPh sb="11" eb="13">
      <t>シンセイ</t>
    </rPh>
    <rPh sb="15" eb="17">
      <t>ダンタイ</t>
    </rPh>
    <rPh sb="20" eb="22">
      <t>ベッシ</t>
    </rPh>
    <rPh sb="23" eb="25">
      <t>ジギョウ</t>
    </rPh>
    <rPh sb="26" eb="28">
      <t>キョウドウ</t>
    </rPh>
    <rPh sb="28" eb="30">
      <t>ジッシ</t>
    </rPh>
    <rPh sb="31" eb="33">
      <t>レンケイ</t>
    </rPh>
    <rPh sb="33" eb="35">
      <t>ジッシ</t>
    </rPh>
    <rPh sb="36" eb="37">
      <t>カカ</t>
    </rPh>
    <rPh sb="38" eb="41">
      <t>ゴウイショ</t>
    </rPh>
    <rPh sb="41" eb="42">
      <t>ケン</t>
    </rPh>
    <rPh sb="42" eb="45">
      <t>イニンジョウ</t>
    </rPh>
    <phoneticPr fontId="1"/>
  </si>
  <si>
    <t>　提出してください。</t>
    <rPh sb="0" eb="2">
      <t>テイシュツ</t>
    </rPh>
    <phoneticPr fontId="1"/>
  </si>
  <si>
    <t>５</t>
    <phoneticPr fontId="1"/>
  </si>
  <si>
    <t>事業内容</t>
    <rPh sb="0" eb="1">
      <t>ジギョウ</t>
    </rPh>
    <rPh sb="1" eb="3">
      <t>ナイヨウ</t>
    </rPh>
    <phoneticPr fontId="1"/>
  </si>
  <si>
    <t>実施会場住所</t>
    <rPh sb="0" eb="2">
      <t>ジッシ</t>
    </rPh>
    <rPh sb="2" eb="4">
      <t>カイジョウ</t>
    </rPh>
    <rPh sb="4" eb="6">
      <t>ジュウショ</t>
    </rPh>
    <phoneticPr fontId="1"/>
  </si>
  <si>
    <t>事業期間</t>
    <rPh sb="0" eb="2">
      <t>ジギョウ</t>
    </rPh>
    <rPh sb="2" eb="4">
      <t>キカン</t>
    </rPh>
    <phoneticPr fontId="1"/>
  </si>
  <si>
    <t>打合せ回数</t>
    <rPh sb="0" eb="2">
      <t>ウチアワ</t>
    </rPh>
    <rPh sb="3" eb="5">
      <t>カイスウ</t>
    </rPh>
    <phoneticPr fontId="1"/>
  </si>
  <si>
    <t>打合せ人数</t>
    <rPh sb="0" eb="2">
      <t>ウチアワ</t>
    </rPh>
    <rPh sb="3" eb="5">
      <t>ニンズウ</t>
    </rPh>
    <phoneticPr fontId="1"/>
  </si>
  <si>
    <t>実施会場名</t>
    <rPh sb="0" eb="1">
      <t>ジッシ</t>
    </rPh>
    <rPh sb="1" eb="3">
      <t>カイジョウ</t>
    </rPh>
    <rPh sb="3" eb="4">
      <t>メイ</t>
    </rPh>
    <phoneticPr fontId="1"/>
  </si>
  <si>
    <t>第一希望</t>
    <rPh sb="0" eb="2">
      <t>ダイイチ</t>
    </rPh>
    <rPh sb="2" eb="4">
      <t>キボウ</t>
    </rPh>
    <phoneticPr fontId="1"/>
  </si>
  <si>
    <t>第二希望</t>
    <rPh sb="0" eb="2">
      <t>ダイニ</t>
    </rPh>
    <rPh sb="2" eb="4">
      <t>キボウ</t>
    </rPh>
    <phoneticPr fontId="1"/>
  </si>
  <si>
    <t>第三希望</t>
    <rPh sb="0" eb="1">
      <t>ダイ</t>
    </rPh>
    <rPh sb="1" eb="2">
      <t>３</t>
    </rPh>
    <rPh sb="2" eb="4">
      <t>キボウ</t>
    </rPh>
    <phoneticPr fontId="1"/>
  </si>
  <si>
    <t>実施
希望
日時</t>
    <rPh sb="0" eb="2">
      <t>ジッシ</t>
    </rPh>
    <rPh sb="3" eb="5">
      <t>キボウ</t>
    </rPh>
    <rPh sb="6" eb="8">
      <t>ニチジ</t>
    </rPh>
    <phoneticPr fontId="1"/>
  </si>
  <si>
    <t>３時間（６名）</t>
    <rPh sb="1" eb="3">
      <t>ジカン</t>
    </rPh>
    <rPh sb="5" eb="6">
      <t>メイ</t>
    </rPh>
    <phoneticPr fontId="1"/>
  </si>
  <si>
    <t>４時間（８名）</t>
    <rPh sb="1" eb="3">
      <t>ジカン</t>
    </rPh>
    <rPh sb="5" eb="6">
      <t>メイ</t>
    </rPh>
    <phoneticPr fontId="1"/>
  </si>
  <si>
    <t>※カッコ内は参加者１名当たりの相談時間を30分とした場合のアドバイザー１名当たりの相談可能人数です。</t>
    <rPh sb="4" eb="5">
      <t>ナイ</t>
    </rPh>
    <rPh sb="6" eb="8">
      <t>サンカ</t>
    </rPh>
    <rPh sb="8" eb="9">
      <t>シャ</t>
    </rPh>
    <rPh sb="10" eb="11">
      <t>メイ</t>
    </rPh>
    <rPh sb="22" eb="23">
      <t>フン</t>
    </rPh>
    <rPh sb="26" eb="28">
      <t>バアイ</t>
    </rPh>
    <rPh sb="36" eb="37">
      <t>メイ</t>
    </rPh>
    <rPh sb="37" eb="38">
      <t>ア</t>
    </rPh>
    <rPh sb="41" eb="43">
      <t>ソウダン</t>
    </rPh>
    <rPh sb="43" eb="45">
      <t>カノウ</t>
    </rPh>
    <rPh sb="45" eb="47">
      <t>ニンズウ</t>
    </rPh>
    <phoneticPr fontId="1"/>
  </si>
  <si>
    <t>アドバイザー</t>
    <phoneticPr fontId="1"/>
  </si>
  <si>
    <t>２時間（４名）</t>
    <phoneticPr fontId="1"/>
  </si>
  <si>
    <t>派遣希望数</t>
    <rPh sb="0" eb="2">
      <t>ハケン</t>
    </rPh>
    <rPh sb="2" eb="4">
      <t>キボウ</t>
    </rPh>
    <rPh sb="4" eb="5">
      <t>スウ</t>
    </rPh>
    <phoneticPr fontId="1"/>
  </si>
  <si>
    <t>（Ｂ）</t>
    <phoneticPr fontId="1"/>
  </si>
  <si>
    <t>希望
実施
時間
（Ａ）</t>
    <rPh sb="0" eb="2">
      <t>キボウ</t>
    </rPh>
    <rPh sb="3" eb="5">
      <t>ジッシ</t>
    </rPh>
    <rPh sb="6" eb="8">
      <t>ジカン</t>
    </rPh>
    <phoneticPr fontId="1"/>
  </si>
  <si>
    <t>２名</t>
    <rPh sb="1" eb="2">
      <t>メイ</t>
    </rPh>
    <phoneticPr fontId="1"/>
  </si>
  <si>
    <t>４名</t>
    <rPh sb="1" eb="2">
      <t>メイ</t>
    </rPh>
    <phoneticPr fontId="1"/>
  </si>
  <si>
    <t>６名</t>
    <rPh sb="1" eb="2">
      <t>メイ</t>
    </rPh>
    <phoneticPr fontId="1"/>
  </si>
  <si>
    <t>受講人数</t>
    <rPh sb="0" eb="2">
      <t>ジュコウ</t>
    </rPh>
    <rPh sb="2" eb="4">
      <t>ニンズウ</t>
    </rPh>
    <phoneticPr fontId="1"/>
  </si>
  <si>
    <t>10名（最低５名以上の受講が必要）</t>
    <phoneticPr fontId="1"/>
  </si>
  <si>
    <t>20名</t>
    <phoneticPr fontId="1"/>
  </si>
  <si>
    <t>30名</t>
    <phoneticPr fontId="1"/>
  </si>
  <si>
    <t>講義
内容</t>
    <rPh sb="0" eb="2">
      <t>コウギ</t>
    </rPh>
    <rPh sb="3" eb="5">
      <t>ナイヨウ</t>
    </rPh>
    <phoneticPr fontId="1"/>
  </si>
  <si>
    <t>基本操作（スマホの操作（タップ、スワイプ等）、アプリのインストール、電話・メールの使用方法等）</t>
    <phoneticPr fontId="1"/>
  </si>
  <si>
    <t>受講
定員</t>
    <rPh sb="0" eb="2">
      <t>ジュコウ</t>
    </rPh>
    <rPh sb="3" eb="5">
      <t>テイイン</t>
    </rPh>
    <phoneticPr fontId="1"/>
  </si>
  <si>
    <t>コミュニケーション（SNS（LINE、X（旧Twitter）等）、ビデオ通話等）の基礎</t>
    <phoneticPr fontId="1"/>
  </si>
  <si>
    <t>情報収集（インターネット、ニュース、動画等）の基礎</t>
    <phoneticPr fontId="1"/>
  </si>
  <si>
    <t>申請・決済（インターネットショッピング・キャッシュレス決済等）の基礎</t>
    <phoneticPr fontId="1"/>
  </si>
  <si>
    <t>※初回打合せ、反省会を含みます。</t>
    <rPh sb="1" eb="3">
      <t>ショカイ</t>
    </rPh>
    <rPh sb="3" eb="5">
      <t>ウチアワ</t>
    </rPh>
    <rPh sb="7" eb="9">
      <t>ハンセイ</t>
    </rPh>
    <rPh sb="9" eb="10">
      <t>カイ</t>
    </rPh>
    <rPh sb="11" eb="12">
      <t>フク</t>
    </rPh>
    <phoneticPr fontId="1"/>
  </si>
  <si>
    <t>期待される効果</t>
    <rPh sb="0" eb="2">
      <t>キタイ</t>
    </rPh>
    <rPh sb="5" eb="7">
      <t>コウカ</t>
    </rPh>
    <phoneticPr fontId="1"/>
  </si>
  <si>
    <t>地域社会のデジタル化を後押しするとともに、デジタルを活用することで住民同士の交流を図りながら、地域コミュニティの繋がりを強めていく。</t>
    <phoneticPr fontId="1"/>
  </si>
  <si>
    <t>※１　所要時間は午前９時から午後６時までの間、講習会は３時間、相談会は２時間、３時間又は４時間です。
※２　会場の設営・撤収は、委託業者にて行います。前後30分ずつお見込みください。
※３　第一希望から第三希望まで別日を記載してください。</t>
    <rPh sb="23" eb="26">
      <t>コウシュウカイ</t>
    </rPh>
    <rPh sb="31" eb="33">
      <t>ソウダン</t>
    </rPh>
    <rPh sb="33" eb="34">
      <t>カイ</t>
    </rPh>
    <rPh sb="36" eb="38">
      <t>ジカン</t>
    </rPh>
    <rPh sb="40" eb="42">
      <t>ジカン</t>
    </rPh>
    <rPh sb="42" eb="43">
      <t>マタ</t>
    </rPh>
    <rPh sb="45" eb="47">
      <t>ジカン</t>
    </rPh>
    <phoneticPr fontId="1"/>
  </si>
  <si>
    <t>※最長３月31日まで</t>
    <phoneticPr fontId="1"/>
  </si>
  <si>
    <t>※この期間が物品購入やレンタル可能の期間となりますので、御注意ください。</t>
    <rPh sb="3" eb="5">
      <t>キカン</t>
    </rPh>
    <rPh sb="6" eb="8">
      <t>ブッピン</t>
    </rPh>
    <rPh sb="8" eb="10">
      <t>コウニュウ</t>
    </rPh>
    <rPh sb="15" eb="17">
      <t>カノウ</t>
    </rPh>
    <rPh sb="18" eb="20">
      <t>キカン</t>
    </rPh>
    <rPh sb="28" eb="31">
      <t>ゴチュウイ</t>
    </rPh>
    <phoneticPr fontId="1"/>
  </si>
  <si>
    <t>※基本操作以外を選択した場合、講義の最初にスマホの使い方について説明します。</t>
    <phoneticPr fontId="1"/>
  </si>
  <si>
    <t>例：希望実施時間（Ａ）３時間、アドバイザー派遣人数（Ｂ）４名の場合、６名（Ａ）×４名（Ｂ）＝24名まで受講可能です。詳細は下表を御覧ください。</t>
    <rPh sb="35" eb="36">
      <t>メイ</t>
    </rPh>
    <rPh sb="41" eb="42">
      <t>メイ</t>
    </rPh>
    <rPh sb="58" eb="60">
      <t>ショウサイ</t>
    </rPh>
    <rPh sb="61" eb="63">
      <t>カヒョウ</t>
    </rPh>
    <rPh sb="64" eb="66">
      <t>ゴラン</t>
    </rPh>
    <phoneticPr fontId="1"/>
  </si>
  <si>
    <t>※該当する欄の１か所のみに○を付けてください。</t>
    <phoneticPr fontId="1"/>
  </si>
  <si>
    <t>収支予算書に寄付金など、助成金以外の収入の計上はありましたか</t>
    <rPh sb="0" eb="5">
      <t>シュウシヨサンショ</t>
    </rPh>
    <rPh sb="21" eb="23">
      <t>ケイジョウ</t>
    </rPh>
    <phoneticPr fontId="1"/>
  </si>
  <si>
    <t>第１０－１号様式</t>
    <rPh sb="0" eb="1">
      <t>ダイ</t>
    </rPh>
    <rPh sb="5" eb="6">
      <t>ゴウ</t>
    </rPh>
    <rPh sb="6" eb="8">
      <t>ヨウシキ</t>
    </rPh>
    <phoneticPr fontId="1"/>
  </si>
  <si>
    <t>事業実施日（教室開催日）</t>
    <rPh sb="0" eb="2">
      <t>ジギョウ</t>
    </rPh>
    <rPh sb="2" eb="4">
      <t>ジッシ</t>
    </rPh>
    <rPh sb="4" eb="5">
      <t>ビ</t>
    </rPh>
    <rPh sb="6" eb="8">
      <t>キョウシツ</t>
    </rPh>
    <rPh sb="8" eb="10">
      <t>カイサイ</t>
    </rPh>
    <rPh sb="10" eb="11">
      <t>ビ</t>
    </rPh>
    <phoneticPr fontId="1"/>
  </si>
  <si>
    <t>参加者数</t>
    <rPh sb="0" eb="2">
      <t>サンカ</t>
    </rPh>
    <rPh sb="2" eb="3">
      <t>シャ</t>
    </rPh>
    <rPh sb="3" eb="4">
      <t>スウ</t>
    </rPh>
    <phoneticPr fontId="1"/>
  </si>
  <si>
    <t>(2)</t>
    <phoneticPr fontId="1"/>
  </si>
  <si>
    <t>教室開催日</t>
    <rPh sb="0" eb="2">
      <t>キョウシツ</t>
    </rPh>
    <rPh sb="2" eb="4">
      <t>カイサイ</t>
    </rPh>
    <rPh sb="4" eb="5">
      <t>ビ</t>
    </rPh>
    <phoneticPr fontId="1"/>
  </si>
  <si>
    <t>印</t>
    <rPh sb="0" eb="1">
      <t>イン</t>
    </rPh>
    <phoneticPr fontId="1"/>
  </si>
  <si>
    <t>※日中連絡の取れる担当者を連絡責任者にしてください。</t>
    <rPh sb="1" eb="3">
      <t>ニッチュウ</t>
    </rPh>
    <rPh sb="3" eb="5">
      <t>レンラク</t>
    </rPh>
    <rPh sb="6" eb="7">
      <t>ト</t>
    </rPh>
    <rPh sb="9" eb="12">
      <t>タントウシャ</t>
    </rPh>
    <rPh sb="13" eb="15">
      <t>レンラク</t>
    </rPh>
    <rPh sb="15" eb="17">
      <t>セキニン</t>
    </rPh>
    <rPh sb="17" eb="18">
      <t>シャ</t>
    </rPh>
    <phoneticPr fontId="1"/>
  </si>
  <si>
    <t>←該当する、近しいものに☑をプルダウンリストから選んでください</t>
    <rPh sb="1" eb="3">
      <t>ガイトウ</t>
    </rPh>
    <rPh sb="6" eb="7">
      <t>チカ</t>
    </rPh>
    <rPh sb="24" eb="25">
      <t>エラ</t>
    </rPh>
    <phoneticPr fontId="1"/>
  </si>
  <si>
    <t>【申請団体、共同又は連携して実施する各団体の役割分担】</t>
  </si>
  <si>
    <t>　以下の①～⑤に当てはまる・近しいものを下表にチェックを入れてください（複数選択可）。</t>
    <phoneticPr fontId="1"/>
  </si>
  <si>
    <t>①企画・進行管理、②広報、③物品等調達・管理、④各種届出等連絡調整、⑤設営・受付等会場管理</t>
    <rPh sb="38" eb="40">
      <t>ウケツケ</t>
    </rPh>
    <phoneticPr fontId="1"/>
  </si>
  <si>
    <t>※書き切れない場合は、本紙をコピーして御使用ください。</t>
    <rPh sb="1" eb="2">
      <t>カ</t>
    </rPh>
    <rPh sb="3" eb="4">
      <t>キ</t>
    </rPh>
    <rPh sb="7" eb="9">
      <t>バアイ</t>
    </rPh>
    <rPh sb="11" eb="13">
      <t>ホンシ</t>
    </rPh>
    <rPh sb="19" eb="22">
      <t>ゴシヨウ</t>
    </rPh>
    <phoneticPr fontId="1"/>
  </si>
  <si>
    <t>団体名／役割分担</t>
    <phoneticPr fontId="1"/>
  </si>
  <si>
    <t>①</t>
    <phoneticPr fontId="1"/>
  </si>
  <si>
    <t>②</t>
    <phoneticPr fontId="1"/>
  </si>
  <si>
    <t>③</t>
    <phoneticPr fontId="1"/>
  </si>
  <si>
    <t>団体名
（申請団体以外）</t>
    <phoneticPr fontId="1"/>
  </si>
  <si>
    <t>代表者
役職</t>
    <phoneticPr fontId="1"/>
  </si>
  <si>
    <t>氏名　印
（自署）</t>
    <phoneticPr fontId="1"/>
  </si>
  <si>
    <t>構成
世帯数
(Ｃ区分)</t>
    <phoneticPr fontId="1"/>
  </si>
  <si>
    <t>④</t>
    <phoneticPr fontId="1"/>
  </si>
  <si>
    <t>⑤</t>
    <phoneticPr fontId="1"/>
  </si>
  <si>
    <t>★１　「講師おまかせスマホ教室」は、謝礼金・スマホレンタル代はかかりませんので、計上不要です。</t>
    <phoneticPr fontId="1"/>
  </si>
  <si>
    <t>★２　町会・自治会の役員や内部団体への謝礼金は助成対象外です。</t>
    <phoneticPr fontId="1"/>
  </si>
  <si>
    <t>★３　Wi-Fi・タブレット通信費、Wi-Fi設置工事は助成対象外です。</t>
    <rPh sb="14" eb="17">
      <t>ツウシンヒ</t>
    </rPh>
    <rPh sb="23" eb="25">
      <t>セッチ</t>
    </rPh>
    <rPh sb="25" eb="27">
      <t>コウジ</t>
    </rPh>
    <rPh sb="28" eb="30">
      <t>ジョセイ</t>
    </rPh>
    <rPh sb="30" eb="32">
      <t>タイショウ</t>
    </rPh>
    <rPh sb="32" eb="33">
      <t>ガイ</t>
    </rPh>
    <phoneticPr fontId="1"/>
  </si>
  <si>
    <t>「高齢者向けスマートフォン教室」（講師おまかせスマホ教室）</t>
    <rPh sb="1" eb="4">
      <t>コウレイシャ</t>
    </rPh>
    <rPh sb="4" eb="5">
      <t>ム</t>
    </rPh>
    <rPh sb="13" eb="15">
      <t>キョウシツ</t>
    </rPh>
    <rPh sb="17" eb="19">
      <t>コウシ</t>
    </rPh>
    <rPh sb="26" eb="28">
      <t>キョウシツ</t>
    </rPh>
    <phoneticPr fontId="1"/>
  </si>
  <si>
    <t>(2)　物品購入費</t>
    <rPh sb="4" eb="6">
      <t>ブッピン</t>
    </rPh>
    <rPh sb="6" eb="8">
      <t>コウニュウ</t>
    </rPh>
    <rPh sb="8" eb="9">
      <t>ヒ</t>
    </rPh>
    <phoneticPr fontId="15"/>
  </si>
  <si>
    <t>(3)　印刷経費</t>
    <rPh sb="4" eb="6">
      <t>インサツ</t>
    </rPh>
    <rPh sb="6" eb="8">
      <t>ケイヒ</t>
    </rPh>
    <phoneticPr fontId="15"/>
  </si>
  <si>
    <t>(4)　役務費</t>
    <rPh sb="4" eb="6">
      <t>エキム</t>
    </rPh>
    <rPh sb="6" eb="7">
      <t>ヒ</t>
    </rPh>
    <phoneticPr fontId="15"/>
  </si>
  <si>
    <t>(5)　レンタル・リース料</t>
    <rPh sb="12" eb="13">
      <t>リョウ</t>
    </rPh>
    <phoneticPr fontId="15"/>
  </si>
  <si>
    <t>参加者のスマホ利用の理解が深まり、地域でデジタル化への意欲が高まった。</t>
    <rPh sb="0" eb="3">
      <t>サンカシャ</t>
    </rPh>
    <rPh sb="7" eb="9">
      <t>リヨウ</t>
    </rPh>
    <rPh sb="10" eb="12">
      <t>リカイ</t>
    </rPh>
    <rPh sb="13" eb="14">
      <t>フカ</t>
    </rPh>
    <rPh sb="17" eb="19">
      <t>チイキ</t>
    </rPh>
    <rPh sb="24" eb="25">
      <t>カ</t>
    </rPh>
    <rPh sb="27" eb="29">
      <t>イヨク</t>
    </rPh>
    <rPh sb="30" eb="31">
      <t>タカ</t>
    </rPh>
    <phoneticPr fontId="1"/>
  </si>
  <si>
    <t>事業の成果物（広報物・写真）</t>
    <rPh sb="0" eb="2">
      <t>ジギョウ</t>
    </rPh>
    <rPh sb="3" eb="5">
      <t>セイカ</t>
    </rPh>
    <rPh sb="5" eb="6">
      <t>ブツ</t>
    </rPh>
    <rPh sb="7" eb="9">
      <t>コウホウ</t>
    </rPh>
    <rPh sb="9" eb="10">
      <t>ブツ</t>
    </rPh>
    <rPh sb="11" eb="13">
      <t>シャシン</t>
    </rPh>
    <phoneticPr fontId="1"/>
  </si>
  <si>
    <t>(5)　レンタル・</t>
    <phoneticPr fontId="15"/>
  </si>
  <si>
    <t>・参加者のスマホ利用の理解が深まり、地域でデジタル化への意欲が高まった。</t>
    <phoneticPr fontId="1"/>
  </si>
  <si>
    <t>・その他</t>
    <rPh sb="3" eb="4">
      <t>タ</t>
    </rPh>
    <phoneticPr fontId="1"/>
  </si>
  <si>
    <t>事業実施期間（開始日）（自動入力）</t>
    <rPh sb="0" eb="2">
      <t>ジギョウ</t>
    </rPh>
    <rPh sb="2" eb="4">
      <t>ジッシ</t>
    </rPh>
    <rPh sb="4" eb="6">
      <t>キカン</t>
    </rPh>
    <rPh sb="7" eb="10">
      <t>カイシビ</t>
    </rPh>
    <rPh sb="12" eb="14">
      <t>ジドウ</t>
    </rPh>
    <rPh sb="14" eb="16">
      <t>ニュウリョク</t>
    </rPh>
    <phoneticPr fontId="1"/>
  </si>
  <si>
    <t>事業実施期間（終了日）（自動入力）</t>
    <rPh sb="0" eb="2">
      <t>ジギョウ</t>
    </rPh>
    <rPh sb="2" eb="4">
      <t>ジッシ</t>
    </rPh>
    <rPh sb="4" eb="6">
      <t>キカン</t>
    </rPh>
    <rPh sb="7" eb="10">
      <t>シュウリョウビ</t>
    </rPh>
    <rPh sb="12" eb="14">
      <t>ジドウ</t>
    </rPh>
    <rPh sb="14" eb="16">
      <t>ニュウリョク</t>
    </rPh>
    <phoneticPr fontId="1"/>
  </si>
  <si>
    <t>教室当日参加人数（数字のみ記入）</t>
    <rPh sb="0" eb="2">
      <t>キョウシツ</t>
    </rPh>
    <rPh sb="2" eb="4">
      <t>トウジツ</t>
    </rPh>
    <rPh sb="4" eb="6">
      <t>サンカ</t>
    </rPh>
    <rPh sb="6" eb="8">
      <t>ニンズウ</t>
    </rPh>
    <rPh sb="9" eb="11">
      <t>スウジ</t>
    </rPh>
    <rPh sb="13" eb="15">
      <t>キニュウ</t>
    </rPh>
    <phoneticPr fontId="1"/>
  </si>
  <si>
    <t>番
号</t>
    <rPh sb="0" eb="1">
      <t>バン</t>
    </rPh>
    <rPh sb="2" eb="3">
      <t>ゴウ</t>
    </rPh>
    <phoneticPr fontId="1"/>
  </si>
  <si>
    <t>６</t>
    <phoneticPr fontId="1"/>
  </si>
  <si>
    <t>団体概要</t>
    <rPh sb="0" eb="2">
      <t>ダンタイ</t>
    </rPh>
    <rPh sb="2" eb="4">
      <t>ガイヨウ</t>
    </rPh>
    <phoneticPr fontId="1"/>
  </si>
  <si>
    <t>会員世帯数</t>
    <rPh sb="0" eb="5">
      <t>カイインセタイスウ</t>
    </rPh>
    <phoneticPr fontId="1"/>
  </si>
  <si>
    <t>世帯</t>
    <rPh sb="0" eb="2">
      <t>セタイ</t>
    </rPh>
    <phoneticPr fontId="1"/>
  </si>
  <si>
    <t>会員世帯数</t>
    <rPh sb="0" eb="2">
      <t>カイイン</t>
    </rPh>
    <rPh sb="2" eb="4">
      <t>セタイ</t>
    </rPh>
    <rPh sb="4" eb="5">
      <t>スウ</t>
    </rPh>
    <phoneticPr fontId="1"/>
  </si>
  <si>
    <t>会員世帯数の時点（年＜和暦＞）</t>
    <rPh sb="0" eb="5">
      <t>カイインセタイスウ</t>
    </rPh>
    <rPh sb="6" eb="8">
      <t>ジテン</t>
    </rPh>
    <rPh sb="9" eb="10">
      <t>ネン</t>
    </rPh>
    <rPh sb="11" eb="13">
      <t>ワレキ</t>
    </rPh>
    <phoneticPr fontId="1"/>
  </si>
  <si>
    <t>会員世帯数の時点（月末）</t>
    <rPh sb="0" eb="5">
      <t>カイインセタイスウ</t>
    </rPh>
    <rPh sb="6" eb="8">
      <t>ジテン</t>
    </rPh>
    <rPh sb="9" eb="10">
      <t>ゲツ</t>
    </rPh>
    <rPh sb="10" eb="11">
      <t>マツ</t>
    </rPh>
    <phoneticPr fontId="1"/>
  </si>
  <si>
    <t>参加者１名当たりの相談時間を30分とした場合</t>
    <phoneticPr fontId="1"/>
  </si>
  <si>
    <t>←自動入力</t>
    <rPh sb="1" eb="3">
      <t>ジドウ</t>
    </rPh>
    <rPh sb="3" eb="5">
      <t>ニュウリョク</t>
    </rPh>
    <phoneticPr fontId="1"/>
  </si>
  <si>
    <t>スマホ講習会（講義形式）</t>
    <rPh sb="3" eb="6">
      <t>コウシュウカイ</t>
    </rPh>
    <rPh sb="7" eb="9">
      <t>コウギ</t>
    </rPh>
    <rPh sb="9" eb="11">
      <t>ケイシキ</t>
    </rPh>
    <phoneticPr fontId="1"/>
  </si>
  <si>
    <t>スマホ相談会（マンツーマン形式）</t>
    <rPh sb="13" eb="15">
      <t>ケイシキ</t>
    </rPh>
    <phoneticPr fontId="1"/>
  </si>
  <si>
    <r>
      <t>単独実施（過去に地域の底力助成で</t>
    </r>
    <r>
      <rPr>
        <b/>
        <u/>
        <sz val="11"/>
        <color theme="1"/>
        <rFont val="ＭＳ 明朝"/>
        <family val="1"/>
        <charset val="128"/>
      </rPr>
      <t>交付決定なし</t>
    </r>
    <r>
      <rPr>
        <sz val="11"/>
        <color theme="1"/>
        <rFont val="ＭＳ 明朝"/>
        <family val="1"/>
        <charset val="128"/>
      </rPr>
      <t>）【Ａ区分】</t>
    </r>
    <rPh sb="0" eb="2">
      <t>タンドク</t>
    </rPh>
    <rPh sb="2" eb="4">
      <t>ジッシ</t>
    </rPh>
    <rPh sb="25" eb="27">
      <t>クブン</t>
    </rPh>
    <phoneticPr fontId="1"/>
  </si>
  <si>
    <r>
      <t>単独実施（過去に地域の底力助成で</t>
    </r>
    <r>
      <rPr>
        <b/>
        <u/>
        <sz val="11"/>
        <color theme="1"/>
        <rFont val="ＭＳ 明朝"/>
        <family val="1"/>
        <charset val="128"/>
      </rPr>
      <t>交付決定あり</t>
    </r>
    <r>
      <rPr>
        <sz val="11"/>
        <color theme="1"/>
        <rFont val="ＭＳ 明朝"/>
        <family val="1"/>
        <charset val="128"/>
      </rPr>
      <t>）【Ｂ－Ｓ区分】</t>
    </r>
    <rPh sb="0" eb="2">
      <t>タンドク</t>
    </rPh>
    <rPh sb="2" eb="4">
      <t>ジッシ</t>
    </rPh>
    <rPh sb="27" eb="29">
      <t>クブン</t>
    </rPh>
    <phoneticPr fontId="1"/>
  </si>
  <si>
    <t>共同実施（複数の単一町会・自治会が共同して実施）【Ｃ区分】</t>
    <rPh sb="0" eb="2">
      <t>キョウドウ</t>
    </rPh>
    <rPh sb="2" eb="4">
      <t>ジッシ</t>
    </rPh>
    <phoneticPr fontId="1"/>
  </si>
  <si>
    <t>共同実施（単一の町会・自治会が他の地域団体と連携して実施）【Ｄ区分】</t>
    <rPh sb="0" eb="2">
      <t>キョウドウ</t>
    </rPh>
    <rPh sb="2" eb="4">
      <t>ジッシ</t>
    </rPh>
    <phoneticPr fontId="1"/>
  </si>
  <si>
    <r>
      <t>講師のみ派遣を希望【</t>
    </r>
    <r>
      <rPr>
        <b/>
        <u/>
        <sz val="11"/>
        <color theme="1"/>
        <rFont val="ＭＳ 明朝"/>
        <family val="1"/>
        <charset val="128"/>
      </rPr>
      <t>助成金申請なし</t>
    </r>
    <r>
      <rPr>
        <sz val="11"/>
        <color theme="1"/>
        <rFont val="ＭＳ 明朝"/>
        <family val="1"/>
        <charset val="128"/>
      </rPr>
      <t>】</t>
    </r>
    <rPh sb="0" eb="2">
      <t>コウシ</t>
    </rPh>
    <rPh sb="4" eb="6">
      <t>ハケン</t>
    </rPh>
    <rPh sb="7" eb="9">
      <t>キボウ</t>
    </rPh>
    <rPh sb="10" eb="13">
      <t>ジョセイキン</t>
    </rPh>
    <rPh sb="13" eb="15">
      <t>シンセイ</t>
    </rPh>
    <phoneticPr fontId="1"/>
  </si>
  <si>
    <t>スマホ相談会（マンツーマン形式）</t>
    <rPh sb="3" eb="6">
      <t>ソウダンカイ</t>
    </rPh>
    <rPh sb="13" eb="15">
      <t>ケイシキ</t>
    </rPh>
    <phoneticPr fontId="1"/>
  </si>
  <si>
    <t>スマホ相談会（マンツーマン形式）　最大受講可能人数　※一人当たり３０分で実施した場合</t>
    <rPh sb="3" eb="6">
      <t>ソウダンカイ</t>
    </rPh>
    <rPh sb="13" eb="15">
      <t>ケイシキ</t>
    </rPh>
    <rPh sb="29" eb="30">
      <t>ア</t>
    </rPh>
    <phoneticPr fontId="1"/>
  </si>
  <si>
    <t>　令和７年度地域の底力発展事業助成金について、令和７年度地域の底力発展事業助成金交付要綱第８の規定</t>
    <rPh sb="47" eb="49">
      <t>キテイ</t>
    </rPh>
    <phoneticPr fontId="1"/>
  </si>
  <si>
    <t>※交付申請時に計上した金額から変更になった場合や今回新たに計上する場合は左のセルに入力された関数を削除して手入力してください</t>
    <rPh sb="1" eb="3">
      <t>コウフ</t>
    </rPh>
    <rPh sb="3" eb="6">
      <t>シンセイジ</t>
    </rPh>
    <rPh sb="7" eb="9">
      <t>ケイジョウ</t>
    </rPh>
    <rPh sb="11" eb="13">
      <t>キンガク</t>
    </rPh>
    <rPh sb="15" eb="17">
      <t>ヘンコウ</t>
    </rPh>
    <rPh sb="21" eb="23">
      <t>バアイ</t>
    </rPh>
    <rPh sb="24" eb="26">
      <t>コンカイ</t>
    </rPh>
    <rPh sb="26" eb="27">
      <t>アラ</t>
    </rPh>
    <rPh sb="31" eb="33">
      <t>ニュウリョク</t>
    </rPh>
    <rPh sb="36" eb="38">
      <t>カンスウ</t>
    </rPh>
    <rPh sb="39" eb="41">
      <t>サクジョ</t>
    </rPh>
    <rPh sb="43" eb="46">
      <t>テニュウリョク</t>
    </rPh>
    <phoneticPr fontId="1"/>
  </si>
  <si>
    <t>※一式の場合は 一式 と記入することは可能です（「１式」、｢1式」は記入不可）</t>
    <phoneticPr fontId="1"/>
  </si>
  <si>
    <t>※申請時から変更があった場合のみ手入力してください</t>
    <rPh sb="1" eb="4">
      <t>シンセイジ</t>
    </rPh>
    <rPh sb="6" eb="8">
      <t>ヘンコウ</t>
    </rPh>
    <rPh sb="12" eb="14">
      <t>バアイ</t>
    </rPh>
    <rPh sb="16" eb="17">
      <t>テ</t>
    </rPh>
    <rPh sb="17" eb="19">
      <t>ニュウリョク</t>
    </rPh>
    <phoneticPr fontId="1"/>
  </si>
  <si>
    <t>※交付申請時に計上した金額から変更になった場合や交付申請時に計上がなく実績報告時に計上する場合は左のセルに入力された関数を削除して手入力してください</t>
    <rPh sb="1" eb="3">
      <t>コウフ</t>
    </rPh>
    <rPh sb="3" eb="6">
      <t>シンセイジ</t>
    </rPh>
    <rPh sb="7" eb="9">
      <t>ケイジョウ</t>
    </rPh>
    <rPh sb="11" eb="13">
      <t>キンガク</t>
    </rPh>
    <rPh sb="15" eb="17">
      <t>ヘンコウ</t>
    </rPh>
    <rPh sb="21" eb="23">
      <t>バアイ</t>
    </rPh>
    <rPh sb="24" eb="28">
      <t>コウフシンセイ</t>
    </rPh>
    <rPh sb="28" eb="29">
      <t>ジ</t>
    </rPh>
    <rPh sb="30" eb="32">
      <t>ケイジョウ</t>
    </rPh>
    <rPh sb="35" eb="37">
      <t>ジッセキ</t>
    </rPh>
    <rPh sb="37" eb="39">
      <t>ホウコク</t>
    </rPh>
    <rPh sb="39" eb="40">
      <t>ジ</t>
    </rPh>
    <rPh sb="41" eb="43">
      <t>ケイジョウ</t>
    </rPh>
    <rPh sb="45" eb="47">
      <t>バアイ</t>
    </rPh>
    <rPh sb="48" eb="49">
      <t>ヒダリ</t>
    </rPh>
    <rPh sb="53" eb="55">
      <t>ニュウリョク</t>
    </rPh>
    <rPh sb="58" eb="60">
      <t>カンスウ</t>
    </rPh>
    <rPh sb="61" eb="63">
      <t>サクジョ</t>
    </rPh>
    <rPh sb="65" eb="68">
      <t>テニュウリョク</t>
    </rPh>
    <phoneticPr fontId="1"/>
  </si>
  <si>
    <t>※交付申請時に計上がなく、実績報告時に計上する場合は左のセルに入力された関数を削除して手入力してください</t>
    <rPh sb="1" eb="5">
      <t>コウフシンセイ</t>
    </rPh>
    <rPh sb="5" eb="6">
      <t>ジ</t>
    </rPh>
    <rPh sb="7" eb="9">
      <t>ケイジョウ</t>
    </rPh>
    <rPh sb="13" eb="15">
      <t>ジッセキ</t>
    </rPh>
    <rPh sb="15" eb="17">
      <t>ホウコク</t>
    </rPh>
    <rPh sb="17" eb="18">
      <t>ジ</t>
    </rPh>
    <rPh sb="19" eb="21">
      <t>ケイジョウ</t>
    </rPh>
    <rPh sb="23" eb="25">
      <t>バアイ</t>
    </rPh>
    <rPh sb="26" eb="27">
      <t>ヒダリ</t>
    </rPh>
    <rPh sb="31" eb="33">
      <t>ニュウリョク</t>
    </rPh>
    <rPh sb="36" eb="38">
      <t>カンスウ</t>
    </rPh>
    <rPh sb="39" eb="41">
      <t>サクジョ</t>
    </rPh>
    <rPh sb="43" eb="44">
      <t>テ</t>
    </rPh>
    <rPh sb="44" eb="46">
      <t>ニュウリョク</t>
    </rPh>
    <phoneticPr fontId="1"/>
  </si>
  <si>
    <t>行う</t>
  </si>
  <si>
    <t>単一</t>
  </si>
  <si>
    <t>実施する</t>
  </si>
  <si>
    <t>団体名</t>
  </si>
  <si>
    <t>代表者役職・氏名（自署）</t>
  </si>
  <si>
    <t>印</t>
  </si>
  <si>
    <t>　　印</t>
  </si>
  <si>
    <t>【参考：交付申請に必要な添付書類】</t>
    <rPh sb="1" eb="3">
      <t>サンコウ</t>
    </rPh>
    <rPh sb="4" eb="6">
      <t>コウフ</t>
    </rPh>
    <rPh sb="6" eb="8">
      <t>シンセイ</t>
    </rPh>
    <rPh sb="9" eb="11">
      <t>ヒツヨウ</t>
    </rPh>
    <rPh sb="12" eb="14">
      <t>テンプ</t>
    </rPh>
    <rPh sb="14" eb="16">
      <t>ショルイ</t>
    </rPh>
    <phoneticPr fontId="1"/>
  </si>
  <si>
    <t>・団体の会則、規約等</t>
    <rPh sb="1" eb="3">
      <t>ダンタイ</t>
    </rPh>
    <rPh sb="4" eb="6">
      <t>カイソク</t>
    </rPh>
    <rPh sb="7" eb="9">
      <t>キヤク</t>
    </rPh>
    <rPh sb="9" eb="10">
      <t>トウ</t>
    </rPh>
    <phoneticPr fontId="1"/>
  </si>
  <si>
    <t>・団体の役員名簿</t>
    <rPh sb="1" eb="3">
      <t>ダンタイ</t>
    </rPh>
    <rPh sb="4" eb="6">
      <t>ヤクイン</t>
    </rPh>
    <rPh sb="6" eb="8">
      <t>メイボ</t>
    </rPh>
    <phoneticPr fontId="1"/>
  </si>
  <si>
    <t>・団体の前年度の事業報告書及び決算書（総会の資料等）</t>
    <rPh sb="1" eb="3">
      <t>ダンタイ</t>
    </rPh>
    <rPh sb="4" eb="7">
      <t>ゼンネンド</t>
    </rPh>
    <rPh sb="8" eb="10">
      <t>ジギョウ</t>
    </rPh>
    <rPh sb="10" eb="13">
      <t>ホウコクショ</t>
    </rPh>
    <rPh sb="13" eb="14">
      <t>オヨ</t>
    </rPh>
    <rPh sb="15" eb="18">
      <t>ケッサンショ</t>
    </rPh>
    <rPh sb="19" eb="21">
      <t>ソウカイ</t>
    </rPh>
    <rPh sb="22" eb="24">
      <t>シリョウ</t>
    </rPh>
    <rPh sb="24" eb="25">
      <t>トウ</t>
    </rPh>
    <phoneticPr fontId="1"/>
  </si>
  <si>
    <t>・見積書の写し（単価×数量が５万円を超える経費については原則必要です。）</t>
    <rPh sb="1" eb="4">
      <t>ミツモリショ</t>
    </rPh>
    <rPh sb="5" eb="6">
      <t>ウツ</t>
    </rPh>
    <rPh sb="8" eb="10">
      <t>タンカ</t>
    </rPh>
    <rPh sb="11" eb="13">
      <t>スウリョウ</t>
    </rPh>
    <rPh sb="15" eb="17">
      <t>マンエン</t>
    </rPh>
    <rPh sb="18" eb="19">
      <t>コ</t>
    </rPh>
    <rPh sb="21" eb="23">
      <t>ケイヒ</t>
    </rPh>
    <rPh sb="28" eb="30">
      <t>ゲンソク</t>
    </rPh>
    <rPh sb="30" eb="32">
      <t>ヒツヨウ</t>
    </rPh>
    <phoneticPr fontId="1"/>
  </si>
  <si>
    <t>（Ｃ区分のみ提出する書類）</t>
    <rPh sb="2" eb="4">
      <t>クブン</t>
    </rPh>
    <rPh sb="6" eb="8">
      <t>テイシュツ</t>
    </rPh>
    <rPh sb="10" eb="12">
      <t>ショルイ</t>
    </rPh>
    <phoneticPr fontId="1"/>
  </si>
  <si>
    <t>・別紙　事業の共同実施・連携実施に係る合意書兼委任状</t>
    <rPh sb="1" eb="3">
      <t>ベッシ</t>
    </rPh>
    <rPh sb="4" eb="6">
      <t>ジギョウ</t>
    </rPh>
    <rPh sb="7" eb="9">
      <t>キョウドウ</t>
    </rPh>
    <rPh sb="9" eb="11">
      <t>ジッシ</t>
    </rPh>
    <rPh sb="12" eb="14">
      <t>レンケイ</t>
    </rPh>
    <rPh sb="14" eb="16">
      <t>ジッシ</t>
    </rPh>
    <rPh sb="17" eb="18">
      <t>カカ</t>
    </rPh>
    <rPh sb="19" eb="22">
      <t>ゴウイショ</t>
    </rPh>
    <rPh sb="22" eb="23">
      <t>ケン</t>
    </rPh>
    <rPh sb="23" eb="26">
      <t>イニンジョウ</t>
    </rPh>
    <phoneticPr fontId="1"/>
  </si>
  <si>
    <t>・共同する全ての団体の会則、規約等</t>
    <rPh sb="1" eb="3">
      <t>キョウドウ</t>
    </rPh>
    <rPh sb="5" eb="6">
      <t>スベ</t>
    </rPh>
    <rPh sb="8" eb="10">
      <t>ダンタイ</t>
    </rPh>
    <rPh sb="11" eb="13">
      <t>カイソク</t>
    </rPh>
    <rPh sb="14" eb="16">
      <t>キヤク</t>
    </rPh>
    <rPh sb="16" eb="17">
      <t>トウ</t>
    </rPh>
    <phoneticPr fontId="1"/>
  </si>
  <si>
    <t>・共同する全ての団体の役員名簿</t>
    <rPh sb="1" eb="3">
      <t>キョウドウ</t>
    </rPh>
    <rPh sb="5" eb="6">
      <t>スベ</t>
    </rPh>
    <rPh sb="8" eb="10">
      <t>ダンタイ</t>
    </rPh>
    <rPh sb="11" eb="13">
      <t>ヤクイン</t>
    </rPh>
    <rPh sb="13" eb="15">
      <t>メイボ</t>
    </rPh>
    <phoneticPr fontId="1"/>
  </si>
  <si>
    <t>・共同する全ての団体の前年度の事業報告書及び決算書（総会の資料等）</t>
    <rPh sb="1" eb="3">
      <t>キョウドウ</t>
    </rPh>
    <rPh sb="5" eb="6">
      <t>スベ</t>
    </rPh>
    <rPh sb="8" eb="10">
      <t>ダンタイ</t>
    </rPh>
    <rPh sb="11" eb="14">
      <t>ゼンネンド</t>
    </rPh>
    <rPh sb="15" eb="17">
      <t>ジギョウ</t>
    </rPh>
    <rPh sb="17" eb="20">
      <t>ホウコクショ</t>
    </rPh>
    <rPh sb="20" eb="21">
      <t>オヨ</t>
    </rPh>
    <rPh sb="22" eb="25">
      <t>ケッサンショ</t>
    </rPh>
    <rPh sb="26" eb="28">
      <t>ソウカイ</t>
    </rPh>
    <rPh sb="29" eb="31">
      <t>シリョウ</t>
    </rPh>
    <rPh sb="31" eb="32">
      <t>トウ</t>
    </rPh>
    <phoneticPr fontId="1"/>
  </si>
  <si>
    <t>（Ｄ区分のみ提出する書類）</t>
    <rPh sb="2" eb="4">
      <t>クブン</t>
    </rPh>
    <rPh sb="6" eb="8">
      <t>テイシュツ</t>
    </rPh>
    <rPh sb="10" eb="12">
      <t>ショルイ</t>
    </rPh>
    <phoneticPr fontId="1"/>
  </si>
  <si>
    <t>・連携する全ての地域団体の定款、会則、規約等</t>
    <rPh sb="1" eb="3">
      <t>レンケイ</t>
    </rPh>
    <rPh sb="5" eb="6">
      <t>スベ</t>
    </rPh>
    <rPh sb="8" eb="10">
      <t>チイキ</t>
    </rPh>
    <rPh sb="10" eb="12">
      <t>ダンタイ</t>
    </rPh>
    <rPh sb="13" eb="15">
      <t>テイカン</t>
    </rPh>
    <rPh sb="16" eb="18">
      <t>カイソク</t>
    </rPh>
    <rPh sb="19" eb="21">
      <t>キヤク</t>
    </rPh>
    <rPh sb="21" eb="22">
      <t>トウ</t>
    </rPh>
    <phoneticPr fontId="1"/>
  </si>
  <si>
    <t>・共同する全ての団体の前年度の事業報告書</t>
    <rPh sb="1" eb="3">
      <t>キョウドウ</t>
    </rPh>
    <rPh sb="5" eb="6">
      <t>スベ</t>
    </rPh>
    <rPh sb="8" eb="10">
      <t>ダンタイ</t>
    </rPh>
    <rPh sb="11" eb="14">
      <t>ゼンネンド</t>
    </rPh>
    <rPh sb="15" eb="17">
      <t>ジギョウ</t>
    </rPh>
    <rPh sb="17" eb="20">
      <t>ホウコクショ</t>
    </rPh>
    <phoneticPr fontId="1"/>
  </si>
  <si>
    <t>【参考：実績報告に必要な添付書類】</t>
    <rPh sb="1" eb="3">
      <t>サンコウ</t>
    </rPh>
    <rPh sb="4" eb="6">
      <t>ジッセキ</t>
    </rPh>
    <rPh sb="6" eb="8">
      <t>ホウコク</t>
    </rPh>
    <rPh sb="9" eb="11">
      <t>ヒツヨウ</t>
    </rPh>
    <rPh sb="12" eb="17">
      <t>テンプショルイ」</t>
    </rPh>
    <phoneticPr fontId="1"/>
  </si>
  <si>
    <t>・領収書、受領書（写しによる提出も可）※必要に応じて原本の提出をお願いすることもあります。</t>
    <rPh sb="1" eb="4">
      <t>リョウシュウショ</t>
    </rPh>
    <rPh sb="5" eb="8">
      <t>ジュリョウショ</t>
    </rPh>
    <rPh sb="9" eb="10">
      <t>ウツ</t>
    </rPh>
    <rPh sb="14" eb="16">
      <t>テイシュツ</t>
    </rPh>
    <rPh sb="17" eb="18">
      <t>カ</t>
    </rPh>
    <rPh sb="20" eb="22">
      <t>ヒツヨウ</t>
    </rPh>
    <rPh sb="23" eb="24">
      <t>オウ</t>
    </rPh>
    <rPh sb="26" eb="28">
      <t>ゲンポン</t>
    </rPh>
    <rPh sb="29" eb="31">
      <t>テイシュツ</t>
    </rPh>
    <rPh sb="33" eb="34">
      <t>ネガ</t>
    </rPh>
    <phoneticPr fontId="1"/>
  </si>
  <si>
    <t>・成果物（写真や助成金を活用して作成した冊子、マニュアル等）</t>
    <rPh sb="1" eb="4">
      <t>セイカブツ</t>
    </rPh>
    <rPh sb="5" eb="7">
      <t>シャシン</t>
    </rPh>
    <rPh sb="8" eb="11">
      <t>ジョセイキン</t>
    </rPh>
    <rPh sb="12" eb="14">
      <t>カツヨウ</t>
    </rPh>
    <rPh sb="16" eb="18">
      <t>サクセイ</t>
    </rPh>
    <rPh sb="20" eb="22">
      <t>サッシ</t>
    </rPh>
    <rPh sb="28" eb="29">
      <t>トウ</t>
    </rPh>
    <phoneticPr fontId="1"/>
  </si>
  <si>
    <t>・助成事業であることを公表したことが分かる書類（ポスター、看板、広報紙等）</t>
    <rPh sb="1" eb="3">
      <t>ジョセイ</t>
    </rPh>
    <rPh sb="3" eb="5">
      <t>ジギョウ</t>
    </rPh>
    <rPh sb="11" eb="13">
      <t>コウヒョウ</t>
    </rPh>
    <rPh sb="18" eb="19">
      <t>ワ</t>
    </rPh>
    <rPh sb="21" eb="23">
      <t>ショルイ</t>
    </rPh>
    <rPh sb="29" eb="31">
      <t>カンバン</t>
    </rPh>
    <rPh sb="32" eb="34">
      <t>コウホウ</t>
    </rPh>
    <rPh sb="34" eb="35">
      <t>カミ</t>
    </rPh>
    <rPh sb="35" eb="36">
      <t>トウ</t>
    </rPh>
    <phoneticPr fontId="1"/>
  </si>
  <si>
    <t>・実績報告内容確認書（Ｃ区分・Ｄ区分の場合のみ）</t>
    <rPh sb="1" eb="3">
      <t>ジッセキ</t>
    </rPh>
    <rPh sb="3" eb="5">
      <t>ホウコク</t>
    </rPh>
    <rPh sb="5" eb="7">
      <t>ナイヨウ</t>
    </rPh>
    <rPh sb="7" eb="10">
      <t>カクニンショ</t>
    </rPh>
    <rPh sb="12" eb="14">
      <t>クブン</t>
    </rPh>
    <rPh sb="16" eb="18">
      <t>クブン</t>
    </rPh>
    <rPh sb="19" eb="21">
      <t>バアイ</t>
    </rPh>
    <phoneticPr fontId="1"/>
  </si>
  <si>
    <t>・本団体の役員が代表を務める企業等への支出に係る同意書又は役員会議事録（該当する場合のみ）</t>
    <rPh sb="1" eb="2">
      <t>ホン</t>
    </rPh>
    <rPh sb="2" eb="4">
      <t>ダンタイ</t>
    </rPh>
    <rPh sb="5" eb="7">
      <t>ヤクイン</t>
    </rPh>
    <rPh sb="8" eb="10">
      <t>ダイヒョウ</t>
    </rPh>
    <rPh sb="11" eb="12">
      <t>ツト</t>
    </rPh>
    <rPh sb="14" eb="16">
      <t>キギョウ</t>
    </rPh>
    <rPh sb="16" eb="17">
      <t>トウ</t>
    </rPh>
    <rPh sb="19" eb="21">
      <t>シシュツ</t>
    </rPh>
    <rPh sb="22" eb="23">
      <t>カカ</t>
    </rPh>
    <rPh sb="24" eb="27">
      <t>ドウイショ</t>
    </rPh>
    <rPh sb="27" eb="28">
      <t>マタ</t>
    </rPh>
    <rPh sb="29" eb="31">
      <t>ヤクイン</t>
    </rPh>
    <rPh sb="31" eb="32">
      <t>カイ</t>
    </rPh>
    <rPh sb="32" eb="35">
      <t>ギジロク</t>
    </rPh>
    <rPh sb="36" eb="38">
      <t>ガイトウ</t>
    </rPh>
    <rPh sb="40" eb="42">
      <t>バアイ</t>
    </rPh>
    <phoneticPr fontId="1"/>
  </si>
  <si>
    <t>・変更理由書（必要な場合のみ）</t>
    <rPh sb="1" eb="3">
      <t>ヘンコウ</t>
    </rPh>
    <rPh sb="3" eb="6">
      <t>リユウショ</t>
    </rPh>
    <rPh sb="7" eb="9">
      <t>ヒツヨウ</t>
    </rPh>
    <rPh sb="10" eb="12">
      <t>バアイ</t>
    </rPh>
    <phoneticPr fontId="1"/>
  </si>
  <si>
    <t>・助成金支払情報確認票</t>
    <rPh sb="1" eb="3">
      <t>ジョセイ</t>
    </rPh>
    <rPh sb="3" eb="4">
      <t>キン</t>
    </rPh>
    <rPh sb="4" eb="6">
      <t>シハライ</t>
    </rPh>
    <rPh sb="6" eb="8">
      <t>ジョウホウ</t>
    </rPh>
    <rPh sb="8" eb="10">
      <t>カクニン</t>
    </rPh>
    <rPh sb="10" eb="11">
      <t>ヒョウ</t>
    </rPh>
    <phoneticPr fontId="1"/>
  </si>
  <si>
    <t>・支払金口座振替依頼書　※口座名義人が【団体名＋会長以外】の場合は、委任状に記載の代理人の情報を御記載ください。</t>
    <rPh sb="1" eb="11">
      <t>シハライキンコウザフリカエイライショ</t>
    </rPh>
    <rPh sb="13" eb="15">
      <t>コウザ</t>
    </rPh>
    <rPh sb="15" eb="18">
      <t>メイギニン</t>
    </rPh>
    <rPh sb="20" eb="23">
      <t>ダンタイメイ</t>
    </rPh>
    <rPh sb="24" eb="28">
      <t>カイチョウイガイ</t>
    </rPh>
    <rPh sb="30" eb="32">
      <t>バアイ</t>
    </rPh>
    <phoneticPr fontId="1"/>
  </si>
  <si>
    <t>・委任状（口座名義人が【団体名＋会長以外】の場合のみ）</t>
    <rPh sb="1" eb="4">
      <t>イニンジョウ</t>
    </rPh>
    <rPh sb="5" eb="10">
      <t>コウザメイギニン</t>
    </rPh>
    <rPh sb="12" eb="14">
      <t>ダンタイ</t>
    </rPh>
    <rPh sb="14" eb="15">
      <t>メイ</t>
    </rPh>
    <rPh sb="16" eb="18">
      <t>カイチョウ</t>
    </rPh>
    <rPh sb="18" eb="20">
      <t>イガイ</t>
    </rPh>
    <rPh sb="22" eb="24">
      <t>バアイ</t>
    </rPh>
    <phoneticPr fontId="1"/>
  </si>
  <si>
    <t>・通帳の見開きページの写し</t>
    <rPh sb="1" eb="3">
      <t>ツウチョウ</t>
    </rPh>
    <rPh sb="4" eb="6">
      <t>ミヒラ</t>
    </rPh>
    <rPh sb="11" eb="12">
      <t>ウツ</t>
    </rPh>
    <phoneticPr fontId="1"/>
  </si>
  <si>
    <t>○入力フォーム付きファイルで申請書を作成する皆様へ（必ずお読みください）</t>
    <rPh sb="1" eb="3">
      <t>ニュウリョク</t>
    </rPh>
    <rPh sb="7" eb="8">
      <t>ツ</t>
    </rPh>
    <rPh sb="14" eb="17">
      <t>シンセイショ</t>
    </rPh>
    <rPh sb="18" eb="20">
      <t>サクセイ</t>
    </rPh>
    <rPh sb="22" eb="24">
      <t>ミナサマ</t>
    </rPh>
    <phoneticPr fontId="1"/>
  </si>
  <si>
    <t>①「入力フォーム」、「概算払請求入力フォーム」、「変更申請入力フォーム」、「実績入力フォーム」の各シートのB列に入力をしていくことで、各様式が完成するようになっています。</t>
    <rPh sb="2" eb="4">
      <t>ニュウリョク</t>
    </rPh>
    <rPh sb="11" eb="13">
      <t>ガイサン</t>
    </rPh>
    <rPh sb="13" eb="14">
      <t>バライ</t>
    </rPh>
    <rPh sb="14" eb="16">
      <t>セイキュウ</t>
    </rPh>
    <rPh sb="16" eb="18">
      <t>ニュウリョク</t>
    </rPh>
    <rPh sb="25" eb="27">
      <t>ヘンコウ</t>
    </rPh>
    <rPh sb="27" eb="29">
      <t>シンセイ</t>
    </rPh>
    <rPh sb="29" eb="31">
      <t>ニュウリョク</t>
    </rPh>
    <rPh sb="38" eb="40">
      <t>ジッセキ</t>
    </rPh>
    <rPh sb="40" eb="42">
      <t>ニュウリョク</t>
    </rPh>
    <rPh sb="48" eb="49">
      <t>カク</t>
    </rPh>
    <rPh sb="54" eb="55">
      <t>レツ</t>
    </rPh>
    <rPh sb="56" eb="58">
      <t>ニュウリョク</t>
    </rPh>
    <rPh sb="67" eb="68">
      <t>カク</t>
    </rPh>
    <phoneticPr fontId="1"/>
  </si>
  <si>
    <r>
      <t>※各フォームのシートは、</t>
    </r>
    <r>
      <rPr>
        <b/>
        <u/>
        <sz val="11"/>
        <color rgb="FFFF0000"/>
        <rFont val="游ゴシック"/>
        <family val="3"/>
        <charset val="128"/>
        <scheme val="minor"/>
      </rPr>
      <t>B列（自動入力とした項目を除く）のみ入力可能</t>
    </r>
    <r>
      <rPr>
        <sz val="11"/>
        <color theme="1"/>
        <rFont val="游ゴシック"/>
        <family val="2"/>
        <charset val="128"/>
        <scheme val="minor"/>
      </rPr>
      <t>としています。</t>
    </r>
    <rPh sb="1" eb="2">
      <t>カク</t>
    </rPh>
    <phoneticPr fontId="1"/>
  </si>
  <si>
    <r>
      <t>②各フォームのシートの</t>
    </r>
    <r>
      <rPr>
        <b/>
        <u/>
        <sz val="11"/>
        <color rgb="FFFF0000"/>
        <rFont val="游ゴシック"/>
        <family val="3"/>
        <charset val="128"/>
        <scheme val="minor"/>
      </rPr>
      <t>C列には入力に当たっての注意事項が書いてあります</t>
    </r>
    <r>
      <rPr>
        <sz val="11"/>
        <color theme="1"/>
        <rFont val="游ゴシック"/>
        <family val="2"/>
        <charset val="128"/>
        <scheme val="minor"/>
      </rPr>
      <t>ので、確認しながら作成を進めてください。</t>
    </r>
    <rPh sb="1" eb="2">
      <t>カク</t>
    </rPh>
    <rPh sb="12" eb="13">
      <t>レツ</t>
    </rPh>
    <rPh sb="15" eb="17">
      <t>ニュウリョク</t>
    </rPh>
    <rPh sb="18" eb="19">
      <t>ア</t>
    </rPh>
    <rPh sb="23" eb="25">
      <t>チュウイ</t>
    </rPh>
    <rPh sb="25" eb="27">
      <t>ジコウ</t>
    </rPh>
    <rPh sb="28" eb="29">
      <t>カ</t>
    </rPh>
    <rPh sb="38" eb="40">
      <t>カクニン</t>
    </rPh>
    <rPh sb="44" eb="46">
      <t>サクセイ</t>
    </rPh>
    <rPh sb="47" eb="48">
      <t>スス</t>
    </rPh>
    <phoneticPr fontId="1"/>
  </si>
  <si>
    <t>※団体情報や連絡責任者情報は「入力フォーム」から自動転記されるようにしていますので、変更承認申請や実績報告時に変更があった場合だけ該当項目を手入力で御修正ください。</t>
    <rPh sb="1" eb="3">
      <t>ダンタイ</t>
    </rPh>
    <rPh sb="3" eb="5">
      <t>ジョウホウ</t>
    </rPh>
    <rPh sb="6" eb="11">
      <t>レンラクセキニンシャ</t>
    </rPh>
    <rPh sb="11" eb="13">
      <t>ジョウホウ</t>
    </rPh>
    <rPh sb="15" eb="17">
      <t>ニュウリョク</t>
    </rPh>
    <rPh sb="24" eb="26">
      <t>ジドウ</t>
    </rPh>
    <rPh sb="26" eb="28">
      <t>テンキ</t>
    </rPh>
    <rPh sb="42" eb="44">
      <t>ヘンコウ</t>
    </rPh>
    <rPh sb="44" eb="46">
      <t>ショウニン</t>
    </rPh>
    <rPh sb="46" eb="48">
      <t>シンセイ</t>
    </rPh>
    <rPh sb="49" eb="51">
      <t>ジッセキ</t>
    </rPh>
    <rPh sb="51" eb="53">
      <t>ホウコク</t>
    </rPh>
    <rPh sb="53" eb="54">
      <t>ジ</t>
    </rPh>
    <rPh sb="55" eb="57">
      <t>ヘンコウ</t>
    </rPh>
    <rPh sb="61" eb="63">
      <t>バアイ</t>
    </rPh>
    <rPh sb="65" eb="67">
      <t>ガイトウ</t>
    </rPh>
    <rPh sb="67" eb="69">
      <t>コウモク</t>
    </rPh>
    <rPh sb="70" eb="71">
      <t>テ</t>
    </rPh>
    <rPh sb="71" eb="73">
      <t>ニュウリョク</t>
    </rPh>
    <rPh sb="74" eb="75">
      <t>ゴ</t>
    </rPh>
    <rPh sb="75" eb="77">
      <t>シュウセイ</t>
    </rPh>
    <phoneticPr fontId="1"/>
  </si>
  <si>
    <r>
      <t>③各フォームのシートに入力するだけで完成しますので、</t>
    </r>
    <r>
      <rPr>
        <b/>
        <u/>
        <sz val="11"/>
        <color rgb="FFFF0000"/>
        <rFont val="游ゴシック"/>
        <family val="3"/>
        <charset val="128"/>
        <scheme val="minor"/>
      </rPr>
      <t>それ以外のシートには保護を掛けています</t>
    </r>
    <r>
      <rPr>
        <sz val="11"/>
        <color theme="1"/>
        <rFont val="游ゴシック"/>
        <family val="2"/>
        <charset val="128"/>
        <scheme val="minor"/>
      </rPr>
      <t>。</t>
    </r>
    <rPh sb="1" eb="2">
      <t>カク</t>
    </rPh>
    <rPh sb="11" eb="13">
      <t>ニュウリョク</t>
    </rPh>
    <rPh sb="18" eb="20">
      <t>カンセイ</t>
    </rPh>
    <rPh sb="28" eb="30">
      <t>イガイ</t>
    </rPh>
    <rPh sb="36" eb="38">
      <t>ホゴ</t>
    </rPh>
    <rPh sb="39" eb="40">
      <t>カ</t>
    </rPh>
    <phoneticPr fontId="1"/>
  </si>
  <si>
    <r>
      <t>④入力に当たって、</t>
    </r>
    <r>
      <rPr>
        <b/>
        <u/>
        <sz val="11"/>
        <color rgb="FFFF0000"/>
        <rFont val="游ゴシック"/>
        <family val="3"/>
        <charset val="128"/>
        <scheme val="minor"/>
      </rPr>
      <t>以下の行為を行わないでください</t>
    </r>
    <r>
      <rPr>
        <sz val="11"/>
        <color theme="1"/>
        <rFont val="游ゴシック"/>
        <family val="2"/>
        <charset val="128"/>
        <scheme val="minor"/>
      </rPr>
      <t>（シートの参照が崩れて様式が完成しなくなってしまいます。）。</t>
    </r>
    <rPh sb="1" eb="3">
      <t>ニュウリョク</t>
    </rPh>
    <rPh sb="4" eb="5">
      <t>ア</t>
    </rPh>
    <rPh sb="9" eb="11">
      <t>イカ</t>
    </rPh>
    <rPh sb="12" eb="14">
      <t>コウイ</t>
    </rPh>
    <rPh sb="15" eb="16">
      <t>オコナ</t>
    </rPh>
    <rPh sb="29" eb="31">
      <t>サンショウ</t>
    </rPh>
    <rPh sb="32" eb="33">
      <t>クズ</t>
    </rPh>
    <rPh sb="35" eb="37">
      <t>ヨウシキ</t>
    </rPh>
    <rPh sb="38" eb="40">
      <t>カンセイ</t>
    </rPh>
    <phoneticPr fontId="1"/>
  </si>
  <si>
    <t>・コピー＆ペースト</t>
    <phoneticPr fontId="1"/>
  </si>
  <si>
    <t>・ドラッグ＆ドロップによるセルの移動</t>
    <rPh sb="16" eb="18">
      <t>イドウ</t>
    </rPh>
    <phoneticPr fontId="1"/>
  </si>
  <si>
    <t>・行や列の削除</t>
    <rPh sb="1" eb="2">
      <t>ギョウ</t>
    </rPh>
    <rPh sb="3" eb="4">
      <t>レツ</t>
    </rPh>
    <rPh sb="5" eb="7">
      <t>サクジョ</t>
    </rPh>
    <phoneticPr fontId="1"/>
  </si>
  <si>
    <r>
      <t>・シート保護の解除（</t>
    </r>
    <r>
      <rPr>
        <b/>
        <u/>
        <sz val="11"/>
        <color rgb="FFFF0000"/>
        <rFont val="游ゴシック"/>
        <family val="3"/>
        <charset val="128"/>
        <scheme val="minor"/>
      </rPr>
      <t>全てのシートにパスワードを付しています</t>
    </r>
    <r>
      <rPr>
        <sz val="11"/>
        <color theme="1"/>
        <rFont val="游ゴシック"/>
        <family val="2"/>
        <charset val="128"/>
        <scheme val="minor"/>
      </rPr>
      <t>。）</t>
    </r>
    <rPh sb="4" eb="6">
      <t>ホゴ</t>
    </rPh>
    <rPh sb="7" eb="9">
      <t>カイジョ</t>
    </rPh>
    <rPh sb="10" eb="11">
      <t>スベ</t>
    </rPh>
    <rPh sb="23" eb="24">
      <t>フ</t>
    </rPh>
    <phoneticPr fontId="1"/>
  </si>
  <si>
    <r>
      <t>⑤</t>
    </r>
    <r>
      <rPr>
        <b/>
        <u/>
        <sz val="11"/>
        <color rgb="FFFF0000"/>
        <rFont val="游ゴシック"/>
        <family val="3"/>
        <charset val="128"/>
        <scheme val="minor"/>
      </rPr>
      <t>数字は半角で入力</t>
    </r>
    <r>
      <rPr>
        <sz val="11"/>
        <color theme="1"/>
        <rFont val="游ゴシック"/>
        <family val="2"/>
        <charset val="128"/>
        <scheme val="minor"/>
      </rPr>
      <t>してください。</t>
    </r>
    <rPh sb="1" eb="3">
      <t>スウジ</t>
    </rPh>
    <rPh sb="4" eb="6">
      <t>ハンカク</t>
    </rPh>
    <rPh sb="7" eb="9">
      <t>ニュウリョク</t>
    </rPh>
    <phoneticPr fontId="1"/>
  </si>
  <si>
    <t>⑥数量や単価等で「,（カンマ）」の記入は不要です。</t>
    <rPh sb="1" eb="3">
      <t>スウリョウ</t>
    </rPh>
    <rPh sb="4" eb="6">
      <t>タンカ</t>
    </rPh>
    <rPh sb="6" eb="7">
      <t>トウ</t>
    </rPh>
    <rPh sb="17" eb="19">
      <t>キニュウ</t>
    </rPh>
    <rPh sb="20" eb="22">
      <t>フヨウ</t>
    </rPh>
    <phoneticPr fontId="1"/>
  </si>
  <si>
    <t>⑦各フォームへの入力を終えましたら、各様式シートを確認し、不備があった場合は各フォームに戻って不備となっている項目を修正してください。</t>
    <rPh sb="1" eb="2">
      <t>カク</t>
    </rPh>
    <rPh sb="8" eb="10">
      <t>ニュウリョク</t>
    </rPh>
    <rPh sb="11" eb="12">
      <t>オ</t>
    </rPh>
    <rPh sb="18" eb="21">
      <t>カクヨウシキ</t>
    </rPh>
    <rPh sb="25" eb="27">
      <t>カクニン</t>
    </rPh>
    <rPh sb="29" eb="31">
      <t>フビ</t>
    </rPh>
    <rPh sb="35" eb="37">
      <t>バアイ</t>
    </rPh>
    <rPh sb="38" eb="39">
      <t>カク</t>
    </rPh>
    <rPh sb="44" eb="45">
      <t>モド</t>
    </rPh>
    <rPh sb="47" eb="49">
      <t>フビ</t>
    </rPh>
    <rPh sb="55" eb="57">
      <t>コウモク</t>
    </rPh>
    <rPh sb="58" eb="60">
      <t>シュウセイ</t>
    </rPh>
    <phoneticPr fontId="1"/>
  </si>
  <si>
    <t>⑧入力不備がないことを確認後、各様式シートを印刷し、押印の上、必要な添付書類を添えて御郵送ください。</t>
    <rPh sb="1" eb="3">
      <t>ニュウリョク</t>
    </rPh>
    <rPh sb="3" eb="5">
      <t>フビ</t>
    </rPh>
    <rPh sb="11" eb="13">
      <t>カクニン</t>
    </rPh>
    <rPh sb="13" eb="14">
      <t>ゴ</t>
    </rPh>
    <rPh sb="15" eb="18">
      <t>カクヨウシキ</t>
    </rPh>
    <rPh sb="22" eb="24">
      <t>インサツ</t>
    </rPh>
    <rPh sb="26" eb="28">
      <t>オウイン</t>
    </rPh>
    <rPh sb="29" eb="30">
      <t>ウエ</t>
    </rPh>
    <rPh sb="31" eb="33">
      <t>ヒツヨウ</t>
    </rPh>
    <rPh sb="34" eb="36">
      <t>テンプ</t>
    </rPh>
    <rPh sb="36" eb="38">
      <t>ショルイ</t>
    </rPh>
    <rPh sb="39" eb="40">
      <t>ソ</t>
    </rPh>
    <rPh sb="42" eb="45">
      <t>ゴユウソウ</t>
    </rPh>
    <phoneticPr fontId="1"/>
  </si>
  <si>
    <t>ご不明な点等ありましたら、地域活動推進課までお尋ねください。</t>
    <rPh sb="1" eb="3">
      <t>フメイ</t>
    </rPh>
    <rPh sb="4" eb="5">
      <t>テン</t>
    </rPh>
    <rPh sb="5" eb="6">
      <t>トウ</t>
    </rPh>
    <rPh sb="13" eb="15">
      <t>チイキ</t>
    </rPh>
    <rPh sb="15" eb="17">
      <t>カツドウ</t>
    </rPh>
    <rPh sb="17" eb="19">
      <t>スイシン</t>
    </rPh>
    <rPh sb="19" eb="20">
      <t>カ</t>
    </rPh>
    <rPh sb="23" eb="24">
      <t>タズ</t>
    </rPh>
    <phoneticPr fontId="1"/>
  </si>
  <si>
    <t>なお、今年度新たに作成したため、頂いた不備の御指摘を踏まえ、予め入力された関数等を更新していく場合があります。</t>
    <rPh sb="3" eb="6">
      <t>コンネンド</t>
    </rPh>
    <rPh sb="6" eb="7">
      <t>アラ</t>
    </rPh>
    <rPh sb="9" eb="11">
      <t>サクセイ</t>
    </rPh>
    <rPh sb="16" eb="17">
      <t>イタダ</t>
    </rPh>
    <rPh sb="19" eb="21">
      <t>フビ</t>
    </rPh>
    <rPh sb="22" eb="25">
      <t>ゴシテキ</t>
    </rPh>
    <rPh sb="26" eb="27">
      <t>フ</t>
    </rPh>
    <rPh sb="30" eb="31">
      <t>アラカジ</t>
    </rPh>
    <rPh sb="32" eb="34">
      <t>ニュウリョク</t>
    </rPh>
    <rPh sb="37" eb="39">
      <t>カンスウ</t>
    </rPh>
    <rPh sb="39" eb="40">
      <t>トウ</t>
    </rPh>
    <rPh sb="41" eb="43">
      <t>コウシン</t>
    </rPh>
    <rPh sb="47" eb="49">
      <t>バアイ</t>
    </rPh>
    <phoneticPr fontId="1"/>
  </si>
  <si>
    <r>
      <t>所在地等（郵便番号）※</t>
    </r>
    <r>
      <rPr>
        <b/>
        <u/>
        <sz val="11"/>
        <color theme="1"/>
        <rFont val="游ゴシック"/>
        <family val="3"/>
        <charset val="128"/>
        <scheme val="minor"/>
      </rPr>
      <t>ハイフンなしで半角数字7桁のみ</t>
    </r>
    <r>
      <rPr>
        <sz val="11"/>
        <color theme="1"/>
        <rFont val="游ゴシック"/>
        <family val="2"/>
        <charset val="128"/>
        <scheme val="minor"/>
      </rPr>
      <t>入力</t>
    </r>
    <rPh sb="0" eb="4">
      <t>ショザイチトウ</t>
    </rPh>
    <rPh sb="5" eb="9">
      <t>ユウビンバンゴウ</t>
    </rPh>
    <rPh sb="18" eb="20">
      <t>ハンカク</t>
    </rPh>
    <rPh sb="20" eb="22">
      <t>スウジ</t>
    </rPh>
    <rPh sb="23" eb="24">
      <t>ケタ</t>
    </rPh>
    <rPh sb="26" eb="28">
      <t>ニュウリョク</t>
    </rPh>
    <phoneticPr fontId="1"/>
  </si>
  <si>
    <r>
      <t>電話番号　※</t>
    </r>
    <r>
      <rPr>
        <b/>
        <u/>
        <sz val="11"/>
        <color theme="1"/>
        <rFont val="游ゴシック"/>
        <family val="3"/>
        <charset val="128"/>
        <scheme val="minor"/>
      </rPr>
      <t>ハイフンあり・半角で</t>
    </r>
    <r>
      <rPr>
        <sz val="11"/>
        <color theme="1"/>
        <rFont val="游ゴシック"/>
        <family val="2"/>
        <charset val="128"/>
        <scheme val="minor"/>
      </rPr>
      <t>入力</t>
    </r>
    <rPh sb="0" eb="2">
      <t>デンワ</t>
    </rPh>
    <rPh sb="2" eb="4">
      <t>バンゴウ</t>
    </rPh>
    <rPh sb="13" eb="15">
      <t>ハンカク</t>
    </rPh>
    <rPh sb="16" eb="18">
      <t>ニュウリョク</t>
    </rPh>
    <phoneticPr fontId="1"/>
  </si>
  <si>
    <r>
      <t>連絡責任者所在地等（郵便番号）※</t>
    </r>
    <r>
      <rPr>
        <b/>
        <u/>
        <sz val="11"/>
        <color theme="1"/>
        <rFont val="游ゴシック"/>
        <family val="3"/>
        <charset val="128"/>
        <scheme val="minor"/>
      </rPr>
      <t>ハイフンなしで半角数字7桁のみ</t>
    </r>
    <r>
      <rPr>
        <sz val="11"/>
        <color theme="1"/>
        <rFont val="游ゴシック"/>
        <family val="2"/>
        <charset val="128"/>
        <scheme val="minor"/>
      </rPr>
      <t>入力</t>
    </r>
    <rPh sb="0" eb="5">
      <t>レンラクセキニンシャ</t>
    </rPh>
    <rPh sb="5" eb="8">
      <t>ショザイチ</t>
    </rPh>
    <rPh sb="8" eb="9">
      <t>トウ</t>
    </rPh>
    <rPh sb="23" eb="25">
      <t>ハンカク</t>
    </rPh>
    <phoneticPr fontId="1"/>
  </si>
  <si>
    <r>
      <t>連絡責任者電話番号（自宅・職場）　※</t>
    </r>
    <r>
      <rPr>
        <b/>
        <u/>
        <sz val="11"/>
        <color theme="1"/>
        <rFont val="游ゴシック"/>
        <family val="3"/>
        <charset val="128"/>
        <scheme val="minor"/>
      </rPr>
      <t>ハイフンあり・半角で</t>
    </r>
    <r>
      <rPr>
        <sz val="11"/>
        <color theme="1"/>
        <rFont val="游ゴシック"/>
        <family val="2"/>
        <charset val="128"/>
        <scheme val="minor"/>
      </rPr>
      <t>入力</t>
    </r>
    <rPh sb="0" eb="2">
      <t>レンラク</t>
    </rPh>
    <rPh sb="2" eb="4">
      <t>セキニン</t>
    </rPh>
    <rPh sb="4" eb="5">
      <t>シャ</t>
    </rPh>
    <rPh sb="5" eb="7">
      <t>デンワ</t>
    </rPh>
    <rPh sb="7" eb="9">
      <t>バンゴウ</t>
    </rPh>
    <rPh sb="10" eb="12">
      <t>ジタク</t>
    </rPh>
    <rPh sb="13" eb="15">
      <t>ショクバ</t>
    </rPh>
    <rPh sb="25" eb="27">
      <t>ハンカク</t>
    </rPh>
    <phoneticPr fontId="1"/>
  </si>
  <si>
    <r>
      <t>連絡責任者電話番号（携帯電話）　※</t>
    </r>
    <r>
      <rPr>
        <b/>
        <u/>
        <sz val="11"/>
        <color theme="1"/>
        <rFont val="游ゴシック"/>
        <family val="3"/>
        <charset val="128"/>
        <scheme val="minor"/>
      </rPr>
      <t>ハイフンあり・半角で</t>
    </r>
    <r>
      <rPr>
        <sz val="11"/>
        <color theme="1"/>
        <rFont val="游ゴシック"/>
        <family val="2"/>
        <charset val="128"/>
        <scheme val="minor"/>
      </rPr>
      <t>入力</t>
    </r>
    <rPh sb="0" eb="2">
      <t>レンラク</t>
    </rPh>
    <rPh sb="2" eb="4">
      <t>セキニン</t>
    </rPh>
    <rPh sb="4" eb="5">
      <t>シャ</t>
    </rPh>
    <rPh sb="5" eb="7">
      <t>デンワ</t>
    </rPh>
    <rPh sb="7" eb="9">
      <t>バンゴウ</t>
    </rPh>
    <rPh sb="10" eb="12">
      <t>ケイタイ</t>
    </rPh>
    <rPh sb="12" eb="14">
      <t>デンワ</t>
    </rPh>
    <rPh sb="24" eb="26">
      <t>ハンカク</t>
    </rPh>
    <phoneticPr fontId="1"/>
  </si>
  <si>
    <r>
      <t>連絡責任者ＦＡＸ番号　※</t>
    </r>
    <r>
      <rPr>
        <b/>
        <u/>
        <sz val="11"/>
        <color theme="1"/>
        <rFont val="游ゴシック"/>
        <family val="3"/>
        <charset val="128"/>
        <scheme val="minor"/>
      </rPr>
      <t>ハイフンあり・半角で</t>
    </r>
    <r>
      <rPr>
        <sz val="11"/>
        <color theme="1"/>
        <rFont val="游ゴシック"/>
        <family val="2"/>
        <charset val="128"/>
        <scheme val="minor"/>
      </rPr>
      <t>入力</t>
    </r>
    <rPh sb="0" eb="2">
      <t>レンラク</t>
    </rPh>
    <rPh sb="2" eb="4">
      <t>セキニン</t>
    </rPh>
    <rPh sb="4" eb="5">
      <t>シャ</t>
    </rPh>
    <rPh sb="8" eb="10">
      <t>バンゴウ</t>
    </rPh>
    <rPh sb="19" eb="21">
      <t>ハンカク</t>
    </rPh>
    <phoneticPr fontId="1"/>
  </si>
  <si>
    <r>
      <t>連絡責任者メールアドレス　※</t>
    </r>
    <r>
      <rPr>
        <b/>
        <u/>
        <sz val="11"/>
        <color theme="1"/>
        <rFont val="游ゴシック"/>
        <family val="3"/>
        <charset val="128"/>
        <scheme val="minor"/>
      </rPr>
      <t>半角で</t>
    </r>
    <r>
      <rPr>
        <sz val="11"/>
        <color theme="1"/>
        <rFont val="游ゴシック"/>
        <family val="2"/>
        <charset val="128"/>
        <scheme val="minor"/>
      </rPr>
      <t>入力</t>
    </r>
    <rPh sb="0" eb="2">
      <t>レンラク</t>
    </rPh>
    <rPh sb="2" eb="4">
      <t>セキニン</t>
    </rPh>
    <rPh sb="4" eb="5">
      <t>シャ</t>
    </rPh>
    <rPh sb="14" eb="16">
      <t>ハンカク</t>
    </rPh>
    <rPh sb="17" eb="19">
      <t>ニュウリョク</t>
    </rPh>
    <phoneticPr fontId="1"/>
  </si>
  <si>
    <t>変更の理由　※84字以内</t>
    <rPh sb="0" eb="2">
      <t>ヘンコウ</t>
    </rPh>
    <rPh sb="3" eb="5">
      <t>リユウ</t>
    </rPh>
    <rPh sb="9" eb="10">
      <t>ジ</t>
    </rPh>
    <rPh sb="10" eb="12">
      <t>イナイ</t>
    </rPh>
    <phoneticPr fontId="1"/>
  </si>
  <si>
    <t>収支予算書に参加費、売り上げ、寄付金など、助成金以外の収入の計上はありましたか</t>
    <rPh sb="0" eb="5">
      <t>シュウシヨサンショ</t>
    </rPh>
    <rPh sb="30" eb="32">
      <t>ケイジョウ</t>
    </rPh>
    <phoneticPr fontId="1"/>
  </si>
  <si>
    <t>スマホ相談会（マンツーマン形式）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</si>
</sst>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411]ggge&quot;年&quot;m&quot;月&quot;d&quot;日&quot;;@"/>
    <numFmt numFmtId="178" formatCode="#,##0_);[Red]\(#,##0\)"/>
    <numFmt numFmtId="179" formatCode="#,##0.0;[Red]\-#,##0.0"/>
    <numFmt numFmtId="180" formatCode="m&quot;月&quot;d&quot;日&quot;;@"/>
    <numFmt numFmtId="181" formatCode="[DBNum3][$-411]#,##0"/>
    <numFmt numFmtId="182" formatCode="&quot;〒&quot;000\-0000"/>
    <numFmt numFmtId="183" formatCode="#,##0&quot;冊&quot;"/>
    <numFmt numFmtId="184" formatCode="#,##0&quot;本&quot;"/>
    <numFmt numFmtId="185" formatCode="#,##0&quot;袋&quot;"/>
    <numFmt numFmtId="186" formatCode="?/10"/>
    <numFmt numFmtId="187" formatCode="[$]ggge&quot;年&quot;m&quot;月&quot;d&quot;日&quot;;@" x16r2:formatCode16="[$-ja-JP-x-gannen]ggge&quot;年&quot;m&quot;月&quot;d&quot;日&quot;;@"/>
    <numFmt numFmtId="188" formatCode="General&quot;名&quot;"/>
    <numFmt numFmtId="191" formatCode="#,##0&quot;字入力済&quot;"/>
  </numFmts>
  <fonts count="42"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5"/>
      <color theme="1"/>
      <name val="ＭＳ Ｐゴシック"/>
      <family val="3"/>
      <charset val="128"/>
    </font>
    <font>
      <sz val="10.5"/>
      <color theme="1"/>
      <name val="ＭＳ 明朝"/>
      <family val="1"/>
      <charset val="128"/>
    </font>
    <font>
      <b/>
      <sz val="10.5"/>
      <color theme="1"/>
      <name val="ＭＳ Ｐゴシック"/>
      <family val="3"/>
      <charset val="128"/>
    </font>
    <font>
      <sz val="12"/>
      <color theme="1"/>
      <name val="ＭＳ 明朝"/>
      <family val="1"/>
      <charset val="128"/>
    </font>
    <font>
      <sz val="10.5"/>
      <color rgb="FF000000"/>
      <name val="ＭＳ 明朝"/>
      <family val="1"/>
      <charset val="128"/>
    </font>
    <font>
      <sz val="9"/>
      <color theme="1"/>
      <name val="ＭＳ 明朝"/>
      <family val="1"/>
      <charset val="128"/>
    </font>
    <font>
      <sz val="14"/>
      <color theme="1"/>
      <name val="ＭＳ ゴシック"/>
      <family val="3"/>
      <charset val="128"/>
    </font>
    <font>
      <b/>
      <sz val="5"/>
      <color theme="1"/>
      <name val="Century"/>
      <family val="1"/>
    </font>
    <font>
      <u/>
      <sz val="11"/>
      <color theme="10"/>
      <name val="游ゴシック"/>
      <family val="2"/>
      <charset val="128"/>
      <scheme val="minor"/>
    </font>
    <font>
      <b/>
      <u/>
      <sz val="11"/>
      <color theme="1"/>
      <name val="游ゴシック"/>
      <family val="3"/>
      <charset val="128"/>
      <scheme val="minor"/>
    </font>
    <font>
      <b/>
      <sz val="10.5"/>
      <color theme="1"/>
      <name val="ＭＳ 明朝"/>
      <family val="1"/>
      <charset val="128"/>
    </font>
    <font>
      <sz val="11"/>
      <name val="ＭＳ Ｐゴシック"/>
      <family val="3"/>
      <charset val="128"/>
    </font>
    <font>
      <sz val="6"/>
      <name val="ＭＳ Ｐゴシック"/>
      <family val="3"/>
      <charset val="128"/>
    </font>
    <font>
      <sz val="16"/>
      <name val="ＭＳ Ｐ明朝"/>
      <family val="1"/>
      <charset val="128"/>
    </font>
    <font>
      <sz val="10"/>
      <name val="ＭＳ Ｐゴシック"/>
      <family val="3"/>
      <charset val="128"/>
    </font>
    <font>
      <sz val="9"/>
      <name val="ＭＳ Ｐゴシック"/>
      <family val="3"/>
      <charset val="128"/>
    </font>
    <font>
      <sz val="10"/>
      <name val="ＭＳ 明朝"/>
      <family val="1"/>
      <charset val="128"/>
    </font>
    <font>
      <sz val="10"/>
      <name val="ＭＳ ゴシック"/>
      <family val="3"/>
      <charset val="128"/>
    </font>
    <font>
      <sz val="10"/>
      <color theme="1"/>
      <name val="ＭＳ Ｐゴシック"/>
      <family val="3"/>
      <charset val="128"/>
    </font>
    <font>
      <sz val="10.5"/>
      <color theme="1"/>
      <name val="游ゴシック"/>
      <family val="3"/>
      <charset val="128"/>
      <scheme val="minor"/>
    </font>
    <font>
      <sz val="16"/>
      <name val="ＭＳ Ｐゴシック"/>
      <family val="3"/>
      <charset val="128"/>
    </font>
    <font>
      <sz val="12"/>
      <name val="ＭＳ Ｐゴシック"/>
      <family val="3"/>
      <charset val="128"/>
    </font>
    <font>
      <b/>
      <sz val="12"/>
      <color theme="1"/>
      <name val="ＭＳ 明朝"/>
      <family val="1"/>
      <charset val="128"/>
    </font>
    <font>
      <sz val="18"/>
      <color theme="1"/>
      <name val="ＭＳ 明朝"/>
      <family val="1"/>
      <charset val="128"/>
    </font>
    <font>
      <sz val="10"/>
      <color theme="1"/>
      <name val="游ゴシック"/>
      <family val="2"/>
      <charset val="128"/>
      <scheme val="minor"/>
    </font>
    <font>
      <sz val="8"/>
      <name val="ＭＳ Ｐゴシック"/>
      <family val="3"/>
      <charset val="128"/>
    </font>
    <font>
      <sz val="11"/>
      <name val="ＭＳ 明朝"/>
      <family val="1"/>
      <charset val="128"/>
    </font>
    <font>
      <b/>
      <sz val="11"/>
      <color theme="1"/>
      <name val="ＭＳ 明朝"/>
      <family val="1"/>
      <charset val="128"/>
    </font>
    <font>
      <sz val="11"/>
      <color rgb="FF000000"/>
      <name val="ＭＳ 明朝"/>
      <family val="1"/>
      <charset val="128"/>
    </font>
    <font>
      <b/>
      <sz val="11"/>
      <color theme="1"/>
      <name val="ＭＳ Ｐゴシック"/>
      <family val="3"/>
      <charset val="128"/>
    </font>
    <font>
      <b/>
      <sz val="12"/>
      <color theme="1"/>
      <name val="ＭＳ Ｐゴシック"/>
      <family val="3"/>
      <charset val="128"/>
    </font>
    <font>
      <sz val="11"/>
      <color theme="1"/>
      <name val="ＭＳ Ｐゴシック"/>
      <family val="3"/>
      <charset val="128"/>
    </font>
    <font>
      <sz val="11"/>
      <name val="游ゴシック"/>
      <family val="2"/>
      <charset val="128"/>
      <scheme val="minor"/>
    </font>
    <font>
      <sz val="8"/>
      <color theme="1"/>
      <name val="ＭＳ 明朝"/>
      <family val="1"/>
      <charset val="128"/>
    </font>
    <font>
      <b/>
      <u/>
      <sz val="11"/>
      <color theme="1"/>
      <name val="ＭＳ 明朝"/>
      <family val="1"/>
      <charset val="128"/>
    </font>
    <font>
      <sz val="11"/>
      <color theme="1"/>
      <name val="游ゴシック"/>
      <family val="3"/>
      <charset val="128"/>
      <scheme val="minor"/>
    </font>
    <font>
      <sz val="11"/>
      <color rgb="FFFF0000"/>
      <name val="游ゴシック"/>
      <family val="2"/>
      <charset val="128"/>
      <scheme val="minor"/>
    </font>
    <font>
      <b/>
      <sz val="11"/>
      <color theme="1"/>
      <name val="游ゴシック"/>
      <family val="3"/>
      <charset val="128"/>
      <scheme val="minor"/>
    </font>
    <font>
      <b/>
      <u/>
      <sz val="11"/>
      <color rgb="FFFF0000"/>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ABF8F"/>
        <bgColor indexed="64"/>
      </patternFill>
    </fill>
  </fills>
  <borders count="7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style="thin">
        <color indexed="64"/>
      </right>
      <top/>
      <bottom/>
      <diagonal/>
    </border>
    <border>
      <left style="medium">
        <color indexed="64"/>
      </left>
      <right style="medium">
        <color indexed="64"/>
      </right>
      <top/>
      <bottom style="hair">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hair">
        <color indexed="64"/>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s>
  <cellStyleXfs count="4">
    <xf numFmtId="0" fontId="0" fillId="0" borderId="0">
      <alignment vertical="center"/>
    </xf>
    <xf numFmtId="0" fontId="11" fillId="0" borderId="0" applyNumberForma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cellStyleXfs>
  <cellXfs count="578">
    <xf numFmtId="0" fontId="0" fillId="0" borderId="0" xfId="0">
      <alignment vertical="center"/>
    </xf>
    <xf numFmtId="0" fontId="10" fillId="2" borderId="0" xfId="0" applyFont="1" applyFill="1" applyAlignment="1">
      <alignment horizontal="justify" vertical="center"/>
    </xf>
    <xf numFmtId="0" fontId="2" fillId="2" borderId="0" xfId="0" applyFont="1" applyFill="1">
      <alignment vertical="center"/>
    </xf>
    <xf numFmtId="0" fontId="9" fillId="2" borderId="0" xfId="0" applyFont="1" applyFill="1">
      <alignment vertical="center"/>
    </xf>
    <xf numFmtId="0" fontId="2" fillId="2" borderId="3" xfId="0" applyFont="1" applyFill="1" applyBorder="1">
      <alignment vertical="center"/>
    </xf>
    <xf numFmtId="0" fontId="2" fillId="2" borderId="4" xfId="0" applyFont="1" applyFill="1" applyBorder="1" applyAlignment="1">
      <alignment horizontal="right" vertical="center"/>
    </xf>
    <xf numFmtId="0" fontId="2" fillId="2" borderId="5" xfId="0" applyFont="1" applyFill="1" applyBorder="1" applyAlignment="1">
      <alignment horizontal="center" vertical="center"/>
    </xf>
    <xf numFmtId="0" fontId="3" fillId="2" borderId="0" xfId="0" applyFont="1" applyFill="1">
      <alignment vertical="center"/>
    </xf>
    <xf numFmtId="0" fontId="4" fillId="2" borderId="0" xfId="0" applyFont="1" applyFill="1">
      <alignment vertical="center"/>
    </xf>
    <xf numFmtId="0" fontId="5" fillId="2" borderId="0" xfId="0" applyFont="1" applyFill="1">
      <alignment vertical="center"/>
    </xf>
    <xf numFmtId="0" fontId="6" fillId="2" borderId="0" xfId="0" applyFont="1" applyFill="1" applyAlignment="1">
      <alignment horizontal="centerContinuous" vertical="center"/>
    </xf>
    <xf numFmtId="0" fontId="4" fillId="2" borderId="0" xfId="0" applyFont="1" applyFill="1" applyAlignment="1">
      <alignment horizontal="centerContinuous" vertical="center"/>
    </xf>
    <xf numFmtId="0" fontId="7" fillId="2" borderId="0" xfId="0" applyFont="1" applyFill="1">
      <alignment vertical="center"/>
    </xf>
    <xf numFmtId="0" fontId="0" fillId="0" borderId="0" xfId="0" applyAlignment="1">
      <alignment vertical="center" shrinkToFit="1"/>
    </xf>
    <xf numFmtId="0" fontId="2" fillId="2" borderId="3" xfId="0" applyFont="1" applyFill="1" applyBorder="1" applyAlignment="1">
      <alignment horizontal="center" vertical="center"/>
    </xf>
    <xf numFmtId="0" fontId="2" fillId="2" borderId="3" xfId="0" applyFont="1" applyFill="1" applyBorder="1" applyAlignment="1">
      <alignment vertical="center" wrapText="1"/>
    </xf>
    <xf numFmtId="0" fontId="13" fillId="2" borderId="0" xfId="0" quotePrefix="1" applyFont="1" applyFill="1">
      <alignment vertical="center"/>
    </xf>
    <xf numFmtId="0" fontId="13" fillId="2" borderId="0" xfId="0" applyFont="1" applyFill="1">
      <alignment vertical="center"/>
    </xf>
    <xf numFmtId="38" fontId="19" fillId="0" borderId="11" xfId="3" applyFont="1" applyBorder="1" applyAlignment="1">
      <alignment vertical="center"/>
    </xf>
    <xf numFmtId="38" fontId="19" fillId="0" borderId="37" xfId="3" applyFont="1" applyBorder="1" applyAlignment="1">
      <alignment vertical="center"/>
    </xf>
    <xf numFmtId="38" fontId="20" fillId="0" borderId="36" xfId="3" applyFont="1" applyBorder="1" applyAlignment="1">
      <alignment horizontal="right" vertical="center"/>
    </xf>
    <xf numFmtId="38" fontId="20" fillId="4" borderId="36" xfId="3" applyFont="1" applyFill="1" applyBorder="1" applyAlignment="1">
      <alignment horizontal="right" vertical="center"/>
    </xf>
    <xf numFmtId="38" fontId="19" fillId="0" borderId="36" xfId="3" applyFont="1" applyBorder="1" applyAlignment="1">
      <alignment vertical="center"/>
    </xf>
    <xf numFmtId="38" fontId="20" fillId="0" borderId="36" xfId="3" applyFont="1" applyBorder="1" applyAlignment="1">
      <alignment vertical="center"/>
    </xf>
    <xf numFmtId="38" fontId="19" fillId="0" borderId="0" xfId="3" applyFont="1" applyBorder="1" applyAlignment="1">
      <alignment vertical="center"/>
    </xf>
    <xf numFmtId="38" fontId="20" fillId="0" borderId="0" xfId="3" applyFont="1" applyBorder="1" applyAlignment="1">
      <alignment vertical="center"/>
    </xf>
    <xf numFmtId="38" fontId="20" fillId="0" borderId="0" xfId="3" applyFont="1" applyBorder="1" applyAlignment="1">
      <alignment horizontal="right" vertical="center"/>
    </xf>
    <xf numFmtId="38" fontId="20" fillId="0" borderId="34" xfId="3" applyFont="1" applyBorder="1" applyAlignment="1">
      <alignment horizontal="right" vertical="center"/>
    </xf>
    <xf numFmtId="0" fontId="17" fillId="0" borderId="0" xfId="2" applyFont="1">
      <alignment vertical="center"/>
    </xf>
    <xf numFmtId="0" fontId="21" fillId="4" borderId="19" xfId="2" applyFont="1" applyFill="1" applyBorder="1" applyAlignment="1">
      <alignment horizontal="center" vertical="center"/>
    </xf>
    <xf numFmtId="0" fontId="17" fillId="0" borderId="0" xfId="2" applyFont="1" applyAlignment="1">
      <alignment horizontal="right"/>
    </xf>
    <xf numFmtId="0" fontId="17" fillId="0" borderId="24" xfId="2" applyFont="1" applyBorder="1">
      <alignment vertical="center"/>
    </xf>
    <xf numFmtId="0" fontId="17" fillId="0" borderId="27" xfId="2" applyFont="1" applyBorder="1" applyAlignment="1">
      <alignment vertical="top"/>
    </xf>
    <xf numFmtId="0" fontId="17" fillId="0" borderId="31" xfId="2" applyFont="1" applyBorder="1">
      <alignment vertical="center"/>
    </xf>
    <xf numFmtId="0" fontId="17" fillId="4" borderId="3" xfId="2" applyFont="1" applyFill="1" applyBorder="1" applyAlignment="1">
      <alignment horizontal="center" vertical="center"/>
    </xf>
    <xf numFmtId="0" fontId="17" fillId="4" borderId="3" xfId="2" applyFont="1" applyFill="1" applyBorder="1" applyAlignment="1">
      <alignment horizontal="center" vertical="center" wrapText="1"/>
    </xf>
    <xf numFmtId="0" fontId="19" fillId="0" borderId="9" xfId="2" applyFont="1" applyBorder="1" applyAlignment="1">
      <alignment vertical="center" shrinkToFit="1"/>
    </xf>
    <xf numFmtId="38" fontId="19" fillId="0" borderId="9" xfId="3" applyFont="1" applyBorder="1" applyAlignment="1">
      <alignment horizontal="right" vertical="center" shrinkToFit="1"/>
    </xf>
    <xf numFmtId="38" fontId="19" fillId="0" borderId="8" xfId="3" applyFont="1" applyBorder="1" applyAlignment="1">
      <alignment horizontal="right" vertical="center" shrinkToFit="1"/>
    </xf>
    <xf numFmtId="0" fontId="17" fillId="0" borderId="27" xfId="2" applyFont="1" applyBorder="1">
      <alignment vertical="center"/>
    </xf>
    <xf numFmtId="49" fontId="17" fillId="0" borderId="27" xfId="2" applyNumberFormat="1" applyFont="1" applyBorder="1">
      <alignment vertical="center"/>
    </xf>
    <xf numFmtId="49" fontId="17" fillId="0" borderId="0" xfId="2" applyNumberFormat="1" applyFont="1">
      <alignment vertical="center"/>
    </xf>
    <xf numFmtId="0" fontId="17" fillId="0" borderId="36" xfId="2" applyFont="1" applyBorder="1">
      <alignment vertical="center"/>
    </xf>
    <xf numFmtId="0" fontId="17" fillId="4" borderId="1" xfId="2" applyFont="1" applyFill="1" applyBorder="1">
      <alignment vertical="center"/>
    </xf>
    <xf numFmtId="0" fontId="17" fillId="4" borderId="1" xfId="2" applyFont="1" applyFill="1" applyBorder="1" applyAlignment="1">
      <alignment vertical="center" shrinkToFit="1"/>
    </xf>
    <xf numFmtId="38" fontId="17" fillId="4" borderId="1" xfId="3" applyFont="1" applyFill="1" applyBorder="1" applyAlignment="1">
      <alignment horizontal="right" vertical="center" shrinkToFit="1"/>
    </xf>
    <xf numFmtId="38" fontId="17" fillId="4" borderId="12" xfId="3" applyFont="1" applyFill="1" applyBorder="1" applyAlignment="1">
      <alignment horizontal="right" vertical="center" shrinkToFit="1"/>
    </xf>
    <xf numFmtId="38" fontId="17" fillId="0" borderId="0" xfId="3" applyFont="1" applyBorder="1" applyAlignment="1">
      <alignment horizontal="right" vertical="center" shrinkToFit="1"/>
    </xf>
    <xf numFmtId="38" fontId="17" fillId="0" borderId="11" xfId="3" applyFont="1" applyBorder="1" applyAlignment="1">
      <alignment horizontal="right" vertical="center" shrinkToFit="1"/>
    </xf>
    <xf numFmtId="0" fontId="19" fillId="0" borderId="39" xfId="2" applyFont="1" applyBorder="1">
      <alignment vertical="center"/>
    </xf>
    <xf numFmtId="0" fontId="19" fillId="0" borderId="40" xfId="2" applyFont="1" applyBorder="1">
      <alignment vertical="center"/>
    </xf>
    <xf numFmtId="0" fontId="17" fillId="0" borderId="13" xfId="2" applyFont="1" applyBorder="1" applyAlignment="1">
      <alignment horizontal="left" vertical="center" shrinkToFit="1"/>
    </xf>
    <xf numFmtId="0" fontId="17" fillId="0" borderId="25" xfId="2" applyFont="1" applyBorder="1" applyAlignment="1">
      <alignment horizontal="left" vertical="center" shrinkToFit="1"/>
    </xf>
    <xf numFmtId="0" fontId="17" fillId="0" borderId="29" xfId="2" applyFont="1" applyBorder="1" applyAlignment="1">
      <alignment horizontal="left" vertical="center" shrinkToFit="1"/>
    </xf>
    <xf numFmtId="0" fontId="17" fillId="0" borderId="26" xfId="2" applyFont="1" applyBorder="1">
      <alignment vertical="center"/>
    </xf>
    <xf numFmtId="3" fontId="0" fillId="0" borderId="0" xfId="0" applyNumberFormat="1">
      <alignment vertical="center"/>
    </xf>
    <xf numFmtId="176" fontId="0" fillId="0" borderId="0" xfId="0" applyNumberFormat="1" applyAlignment="1">
      <alignment horizontal="left" vertical="center" shrinkToFit="1"/>
    </xf>
    <xf numFmtId="0" fontId="14" fillId="0" borderId="0" xfId="2">
      <alignment vertical="center"/>
    </xf>
    <xf numFmtId="0" fontId="14" fillId="0" borderId="0" xfId="2" applyAlignment="1">
      <alignment horizontal="center" vertical="center"/>
    </xf>
    <xf numFmtId="0" fontId="23" fillId="0" borderId="0" xfId="2" applyFont="1" applyAlignment="1">
      <alignment horizontal="left" vertical="center"/>
    </xf>
    <xf numFmtId="0" fontId="24" fillId="0" borderId="41" xfId="2" applyFont="1" applyBorder="1" applyAlignment="1">
      <alignment horizontal="center" vertical="center"/>
    </xf>
    <xf numFmtId="0" fontId="14" fillId="0" borderId="0" xfId="2" applyAlignment="1">
      <alignment horizontal="right" vertical="center"/>
    </xf>
    <xf numFmtId="0" fontId="18" fillId="0" borderId="45" xfId="2" applyFont="1" applyBorder="1" applyAlignment="1">
      <alignment horizontal="center" vertical="center" wrapText="1"/>
    </xf>
    <xf numFmtId="38" fontId="17" fillId="0" borderId="25" xfId="3" applyFont="1" applyBorder="1" applyAlignment="1">
      <alignment vertical="center"/>
    </xf>
    <xf numFmtId="38" fontId="17" fillId="0" borderId="35" xfId="3" applyFont="1" applyBorder="1" applyAlignment="1">
      <alignment horizontal="right" vertical="center"/>
    </xf>
    <xf numFmtId="38" fontId="17" fillId="0" borderId="36" xfId="3" applyFont="1" applyFill="1" applyBorder="1" applyAlignment="1">
      <alignment horizontal="right" vertical="center"/>
    </xf>
    <xf numFmtId="0" fontId="14" fillId="0" borderId="39" xfId="2" applyBorder="1">
      <alignment vertical="center"/>
    </xf>
    <xf numFmtId="0" fontId="14" fillId="0" borderId="40" xfId="2" applyBorder="1">
      <alignment vertical="center"/>
    </xf>
    <xf numFmtId="38" fontId="21" fillId="0" borderId="7" xfId="3" applyFont="1" applyBorder="1" applyAlignment="1">
      <alignment horizontal="right" vertical="center" shrinkToFit="1"/>
    </xf>
    <xf numFmtId="0" fontId="6" fillId="2" borderId="0" xfId="0" applyFont="1" applyFill="1">
      <alignment vertical="center"/>
    </xf>
    <xf numFmtId="0" fontId="25" fillId="2" borderId="0" xfId="0" applyFont="1" applyFill="1" applyAlignment="1">
      <alignment horizontal="justify" vertical="center"/>
    </xf>
    <xf numFmtId="0" fontId="6" fillId="2" borderId="0" xfId="0" applyFont="1" applyFill="1" applyAlignment="1">
      <alignment horizontal="right" vertical="center"/>
    </xf>
    <xf numFmtId="0" fontId="6" fillId="2" borderId="13" xfId="0" applyFont="1" applyFill="1" applyBorder="1">
      <alignment vertical="center"/>
    </xf>
    <xf numFmtId="0" fontId="6" fillId="2" borderId="15" xfId="0" applyFont="1" applyFill="1" applyBorder="1">
      <alignment vertical="center"/>
    </xf>
    <xf numFmtId="0" fontId="6" fillId="2" borderId="10" xfId="0" applyFont="1" applyFill="1" applyBorder="1">
      <alignment vertical="center"/>
    </xf>
    <xf numFmtId="0" fontId="6" fillId="2" borderId="9" xfId="0" applyFont="1" applyFill="1" applyBorder="1">
      <alignment vertical="center"/>
    </xf>
    <xf numFmtId="0" fontId="6" fillId="2" borderId="11" xfId="0" applyFont="1" applyFill="1" applyBorder="1">
      <alignment vertical="center"/>
    </xf>
    <xf numFmtId="0" fontId="6" fillId="2" borderId="14" xfId="0" applyFont="1" applyFill="1" applyBorder="1">
      <alignment vertical="center"/>
    </xf>
    <xf numFmtId="0" fontId="6" fillId="2" borderId="1" xfId="0" applyFont="1" applyFill="1" applyBorder="1">
      <alignment vertical="center"/>
    </xf>
    <xf numFmtId="0" fontId="26" fillId="2" borderId="0" xfId="0" applyFont="1" applyFill="1" applyAlignment="1">
      <alignment horizontal="centerContinuous" vertical="center"/>
    </xf>
    <xf numFmtId="0" fontId="6" fillId="2" borderId="12" xfId="0" applyFont="1" applyFill="1" applyBorder="1" applyAlignment="1">
      <alignment horizontal="center" vertical="center"/>
    </xf>
    <xf numFmtId="0" fontId="17" fillId="0" borderId="23" xfId="2" applyFont="1" applyBorder="1" applyAlignment="1">
      <alignment horizontal="center" vertical="center"/>
    </xf>
    <xf numFmtId="0" fontId="17" fillId="0" borderId="42" xfId="2" applyFont="1" applyBorder="1" applyAlignment="1">
      <alignment horizontal="center" vertical="center"/>
    </xf>
    <xf numFmtId="0" fontId="17" fillId="0" borderId="9" xfId="2" applyFont="1" applyBorder="1" applyAlignment="1">
      <alignment horizontal="left" vertical="center" shrinkToFit="1"/>
    </xf>
    <xf numFmtId="0" fontId="17" fillId="0" borderId="43" xfId="2" applyFont="1" applyBorder="1" applyAlignment="1">
      <alignment horizontal="center" vertical="center"/>
    </xf>
    <xf numFmtId="0" fontId="17" fillId="0" borderId="32" xfId="2" applyFont="1" applyBorder="1" applyAlignment="1">
      <alignment horizontal="left" vertical="center" shrinkToFit="1"/>
    </xf>
    <xf numFmtId="0" fontId="17" fillId="0" borderId="3" xfId="2" applyFont="1" applyBorder="1" applyAlignment="1">
      <alignment horizontal="center" vertical="center"/>
    </xf>
    <xf numFmtId="0" fontId="17" fillId="0" borderId="9" xfId="2" applyFont="1" applyBorder="1" applyAlignment="1">
      <alignment vertical="center" shrinkToFit="1"/>
    </xf>
    <xf numFmtId="178" fontId="17" fillId="0" borderId="9" xfId="2" applyNumberFormat="1" applyFont="1" applyBorder="1" applyAlignment="1">
      <alignment vertical="center" shrinkToFit="1"/>
    </xf>
    <xf numFmtId="0" fontId="17" fillId="0" borderId="29" xfId="2" applyFont="1" applyBorder="1" applyAlignment="1">
      <alignment vertical="center" shrinkToFit="1"/>
    </xf>
    <xf numFmtId="0" fontId="17" fillId="0" borderId="25" xfId="2" applyFont="1" applyBorder="1" applyAlignment="1">
      <alignment vertical="center" shrinkToFit="1"/>
    </xf>
    <xf numFmtId="38" fontId="21" fillId="0" borderId="34" xfId="3" applyFont="1" applyBorder="1" applyAlignment="1">
      <alignment vertical="center" shrinkToFit="1"/>
    </xf>
    <xf numFmtId="38" fontId="21" fillId="0" borderId="8" xfId="3" applyFont="1" applyBorder="1" applyAlignment="1">
      <alignment vertical="center" shrinkToFit="1"/>
    </xf>
    <xf numFmtId="38" fontId="17" fillId="0" borderId="35" xfId="3" applyFont="1" applyBorder="1" applyAlignment="1">
      <alignment vertical="center"/>
    </xf>
    <xf numFmtId="0" fontId="17" fillId="0" borderId="1" xfId="2" applyFont="1" applyBorder="1">
      <alignment vertical="center"/>
    </xf>
    <xf numFmtId="0" fontId="17" fillId="0" borderId="8" xfId="2" applyFont="1" applyBorder="1" applyAlignment="1">
      <alignment vertical="center" shrinkToFit="1"/>
    </xf>
    <xf numFmtId="0" fontId="17" fillId="0" borderId="7" xfId="2" applyFont="1" applyBorder="1" applyAlignment="1">
      <alignment vertical="center" shrinkToFit="1"/>
    </xf>
    <xf numFmtId="38" fontId="17" fillId="0" borderId="29" xfId="3" applyFont="1" applyBorder="1" applyAlignment="1">
      <alignment horizontal="right" vertical="center" shrinkToFit="1"/>
    </xf>
    <xf numFmtId="38" fontId="17" fillId="0" borderId="9" xfId="3" applyFont="1" applyBorder="1" applyAlignment="1">
      <alignment horizontal="right" vertical="center" shrinkToFit="1"/>
    </xf>
    <xf numFmtId="38" fontId="17" fillId="0" borderId="25" xfId="3" applyFont="1" applyBorder="1" applyAlignment="1">
      <alignment horizontal="right" vertical="center" shrinkToFit="1"/>
    </xf>
    <xf numFmtId="179" fontId="17" fillId="0" borderId="9" xfId="3" applyNumberFormat="1" applyFont="1" applyBorder="1" applyAlignment="1">
      <alignment horizontal="right" vertical="center" shrinkToFit="1"/>
    </xf>
    <xf numFmtId="38" fontId="17" fillId="0" borderId="38" xfId="3" applyFont="1" applyBorder="1" applyAlignment="1">
      <alignment vertical="center"/>
    </xf>
    <xf numFmtId="38" fontId="17" fillId="0" borderId="36" xfId="3" applyFont="1" applyBorder="1" applyAlignment="1">
      <alignment horizontal="right" vertical="center"/>
    </xf>
    <xf numFmtId="38" fontId="17" fillId="0" borderId="34" xfId="3" applyFont="1" applyBorder="1" applyAlignment="1">
      <alignment horizontal="right" vertical="center" shrinkToFit="1"/>
    </xf>
    <xf numFmtId="38" fontId="17" fillId="0" borderId="8" xfId="3" applyFont="1" applyBorder="1" applyAlignment="1">
      <alignment horizontal="right" vertical="center" shrinkToFit="1"/>
    </xf>
    <xf numFmtId="38" fontId="17" fillId="0" borderId="35" xfId="3" applyFont="1" applyBorder="1" applyAlignment="1">
      <alignment horizontal="right" vertical="center" shrinkToFit="1"/>
    </xf>
    <xf numFmtId="0" fontId="17" fillId="0" borderId="52" xfId="2" applyFont="1" applyBorder="1" applyAlignment="1">
      <alignment horizontal="center" vertical="center" wrapText="1"/>
    </xf>
    <xf numFmtId="0" fontId="17" fillId="0" borderId="53" xfId="2" applyFont="1" applyBorder="1" applyAlignment="1">
      <alignment horizontal="center" vertical="center"/>
    </xf>
    <xf numFmtId="0" fontId="17" fillId="0" borderId="54" xfId="2" applyFont="1" applyBorder="1" applyAlignment="1">
      <alignment horizontal="center" vertical="center"/>
    </xf>
    <xf numFmtId="0" fontId="17" fillId="0" borderId="0" xfId="2" applyFont="1" applyAlignment="1">
      <alignment horizontal="left" vertical="center" shrinkToFit="1"/>
    </xf>
    <xf numFmtId="178" fontId="17" fillId="0" borderId="0" xfId="2" applyNumberFormat="1" applyFont="1" applyAlignment="1">
      <alignment vertical="center" shrinkToFit="1"/>
    </xf>
    <xf numFmtId="178" fontId="17" fillId="0" borderId="13" xfId="2" applyNumberFormat="1" applyFont="1" applyBorder="1" applyAlignment="1">
      <alignment vertical="center" shrinkToFit="1"/>
    </xf>
    <xf numFmtId="0" fontId="24" fillId="0" borderId="0" xfId="2" applyFont="1" applyAlignment="1">
      <alignment horizontal="center" vertical="center"/>
    </xf>
    <xf numFmtId="0" fontId="24" fillId="0" borderId="53" xfId="2" applyFont="1" applyBorder="1" applyAlignment="1">
      <alignment horizontal="center" vertical="center"/>
    </xf>
    <xf numFmtId="0" fontId="0" fillId="0" borderId="0" xfId="0" applyAlignment="1">
      <alignment vertical="center" wrapText="1"/>
    </xf>
    <xf numFmtId="0" fontId="0" fillId="0" borderId="0" xfId="0" quotePrefix="1" applyAlignment="1">
      <alignment horizontal="left" vertical="center" shrinkToFit="1"/>
    </xf>
    <xf numFmtId="38" fontId="27" fillId="0" borderId="8" xfId="3" applyFont="1" applyBorder="1" applyAlignment="1">
      <alignment horizontal="right" vertical="center" shrinkToFit="1"/>
    </xf>
    <xf numFmtId="0" fontId="0" fillId="5" borderId="0" xfId="0" applyFill="1" applyAlignment="1">
      <alignment vertical="center" shrinkToFit="1"/>
    </xf>
    <xf numFmtId="0" fontId="0" fillId="5" borderId="0" xfId="0" applyFill="1">
      <alignment vertical="center"/>
    </xf>
    <xf numFmtId="178" fontId="0" fillId="0" borderId="40" xfId="3" applyNumberFormat="1" applyFont="1" applyBorder="1">
      <alignment vertical="center"/>
    </xf>
    <xf numFmtId="3" fontId="21" fillId="0" borderId="34" xfId="0" applyNumberFormat="1" applyFont="1" applyBorder="1" applyAlignment="1">
      <alignment horizontal="right" vertical="center"/>
    </xf>
    <xf numFmtId="3" fontId="21" fillId="0" borderId="8" xfId="0" applyNumberFormat="1" applyFont="1" applyBorder="1" applyAlignment="1">
      <alignment horizontal="right" vertical="center"/>
    </xf>
    <xf numFmtId="3" fontId="21" fillId="0" borderId="7" xfId="0" applyNumberFormat="1" applyFont="1" applyBorder="1" applyAlignment="1">
      <alignment horizontal="right" vertical="center"/>
    </xf>
    <xf numFmtId="3" fontId="21" fillId="0" borderId="35" xfId="0" applyNumberFormat="1" applyFont="1" applyBorder="1">
      <alignment vertical="center"/>
    </xf>
    <xf numFmtId="3" fontId="17" fillId="0" borderId="9" xfId="2" applyNumberFormat="1" applyFont="1" applyBorder="1" applyAlignment="1">
      <alignment vertical="center" shrinkToFit="1"/>
    </xf>
    <xf numFmtId="3" fontId="21" fillId="0" borderId="35" xfId="0" applyNumberFormat="1" applyFont="1" applyBorder="1" applyAlignment="1">
      <alignment horizontal="right" vertical="center"/>
    </xf>
    <xf numFmtId="3" fontId="21" fillId="0" borderId="3" xfId="3" applyNumberFormat="1" applyFont="1" applyFill="1" applyBorder="1" applyAlignment="1">
      <alignment horizontal="center" vertical="center" shrinkToFit="1"/>
    </xf>
    <xf numFmtId="3" fontId="21" fillId="0" borderId="8" xfId="3" applyNumberFormat="1" applyFont="1" applyBorder="1" applyAlignment="1">
      <alignment horizontal="right" vertical="center" shrinkToFit="1"/>
    </xf>
    <xf numFmtId="3" fontId="21" fillId="0" borderId="34" xfId="3" applyNumberFormat="1" applyFont="1" applyBorder="1" applyAlignment="1">
      <alignment horizontal="right" vertical="center" shrinkToFit="1"/>
    </xf>
    <xf numFmtId="3" fontId="21" fillId="0" borderId="35" xfId="3" applyNumberFormat="1" applyFont="1" applyBorder="1" applyAlignment="1">
      <alignment horizontal="right" vertical="center" shrinkToFit="1"/>
    </xf>
    <xf numFmtId="3" fontId="21" fillId="0" borderId="48" xfId="3" applyNumberFormat="1" applyFont="1" applyBorder="1" applyAlignment="1">
      <alignment horizontal="right" vertical="center" shrinkToFit="1"/>
    </xf>
    <xf numFmtId="3" fontId="17" fillId="0" borderId="8" xfId="3" applyNumberFormat="1" applyFont="1" applyBorder="1" applyAlignment="1">
      <alignment horizontal="right" vertical="center" shrinkToFit="1"/>
    </xf>
    <xf numFmtId="3" fontId="21" fillId="0" borderId="7" xfId="3" applyNumberFormat="1" applyFont="1" applyBorder="1" applyAlignment="1">
      <alignment horizontal="right" vertical="center" shrinkToFit="1"/>
    </xf>
    <xf numFmtId="3" fontId="21" fillId="0" borderId="9" xfId="3" applyNumberFormat="1" applyFont="1" applyBorder="1" applyAlignment="1">
      <alignment horizontal="right" vertical="center"/>
    </xf>
    <xf numFmtId="3" fontId="21" fillId="0" borderId="14" xfId="3" applyNumberFormat="1" applyFont="1" applyBorder="1" applyAlignment="1">
      <alignment horizontal="right" vertical="center"/>
    </xf>
    <xf numFmtId="3" fontId="17" fillId="0" borderId="29" xfId="2" applyNumberFormat="1" applyFont="1" applyBorder="1" applyAlignment="1">
      <alignment horizontal="right" vertical="center" shrinkToFit="1"/>
    </xf>
    <xf numFmtId="3" fontId="17" fillId="0" borderId="25" xfId="2" applyNumberFormat="1" applyFont="1" applyBorder="1" applyAlignment="1">
      <alignment horizontal="left" vertical="center" shrinkToFit="1"/>
    </xf>
    <xf numFmtId="3" fontId="17" fillId="0" borderId="9" xfId="2" applyNumberFormat="1" applyFont="1" applyBorder="1" applyAlignment="1">
      <alignment horizontal="right" vertical="center" shrinkToFit="1"/>
    </xf>
    <xf numFmtId="3" fontId="17" fillId="0" borderId="32" xfId="2" applyNumberFormat="1" applyFont="1" applyBorder="1" applyAlignment="1">
      <alignment horizontal="right" vertical="center" shrinkToFit="1"/>
    </xf>
    <xf numFmtId="3" fontId="17" fillId="0" borderId="3" xfId="2" applyNumberFormat="1" applyFont="1" applyBorder="1" applyAlignment="1">
      <alignment horizontal="center" vertical="center"/>
    </xf>
    <xf numFmtId="3" fontId="17" fillId="0" borderId="29" xfId="2" applyNumberFormat="1" applyFont="1" applyBorder="1" applyAlignment="1">
      <alignment vertical="center" shrinkToFit="1"/>
    </xf>
    <xf numFmtId="3" fontId="17" fillId="0" borderId="25" xfId="2" applyNumberFormat="1" applyFont="1" applyBorder="1" applyAlignment="1">
      <alignment vertical="center" shrinkToFit="1"/>
    </xf>
    <xf numFmtId="3" fontId="17" fillId="0" borderId="36" xfId="3" applyNumberFormat="1" applyFont="1" applyFill="1" applyBorder="1" applyAlignment="1">
      <alignment horizontal="right" vertical="center"/>
    </xf>
    <xf numFmtId="3" fontId="17" fillId="0" borderId="35" xfId="3" applyNumberFormat="1" applyFont="1" applyBorder="1" applyAlignment="1">
      <alignment horizontal="right" vertical="center"/>
    </xf>
    <xf numFmtId="3" fontId="20" fillId="0" borderId="8" xfId="3" applyNumberFormat="1" applyFont="1" applyBorder="1" applyAlignment="1">
      <alignment horizontal="right" vertical="center"/>
    </xf>
    <xf numFmtId="3" fontId="17" fillId="0" borderId="14" xfId="2" applyNumberFormat="1" applyFont="1" applyBorder="1" applyAlignment="1">
      <alignment vertical="center" shrinkToFit="1"/>
    </xf>
    <xf numFmtId="0" fontId="17" fillId="0" borderId="46" xfId="2" applyFont="1" applyBorder="1" applyAlignment="1">
      <alignment horizontal="center" vertical="center" wrapText="1"/>
    </xf>
    <xf numFmtId="0" fontId="17" fillId="0" borderId="43" xfId="2" applyFont="1" applyBorder="1" applyAlignment="1">
      <alignment horizontal="center" vertical="center" wrapText="1"/>
    </xf>
    <xf numFmtId="0" fontId="17" fillId="0" borderId="47" xfId="2" applyFont="1" applyBorder="1" applyAlignment="1">
      <alignment horizontal="center" vertical="center" wrapText="1"/>
    </xf>
    <xf numFmtId="0" fontId="17" fillId="0" borderId="49" xfId="2" applyFont="1" applyBorder="1" applyAlignment="1">
      <alignment horizontal="center" vertical="center" wrapText="1"/>
    </xf>
    <xf numFmtId="0" fontId="17" fillId="3" borderId="43" xfId="2" applyFont="1" applyFill="1" applyBorder="1" applyAlignment="1">
      <alignment horizontal="center" vertical="center" wrapText="1"/>
    </xf>
    <xf numFmtId="0" fontId="17" fillId="0" borderId="50" xfId="2" applyFont="1" applyBorder="1" applyAlignment="1">
      <alignment horizontal="center" vertical="center" wrapText="1"/>
    </xf>
    <xf numFmtId="0" fontId="17" fillId="0" borderId="44" xfId="2" applyFont="1" applyBorder="1" applyAlignment="1">
      <alignment horizontal="center" vertical="center" wrapText="1"/>
    </xf>
    <xf numFmtId="0" fontId="14" fillId="0" borderId="51" xfId="2" applyBorder="1" applyAlignment="1">
      <alignment horizontal="center" vertical="center" wrapText="1"/>
    </xf>
    <xf numFmtId="0" fontId="17" fillId="0" borderId="0" xfId="2" applyFont="1" applyAlignment="1">
      <alignment vertical="center" shrinkToFit="1"/>
    </xf>
    <xf numFmtId="176" fontId="4" fillId="2" borderId="0" xfId="0" applyNumberFormat="1" applyFont="1" applyFill="1" applyAlignment="1">
      <alignment horizontal="right" vertical="center"/>
    </xf>
    <xf numFmtId="0" fontId="23" fillId="0" borderId="0" xfId="2" applyFont="1">
      <alignment vertical="center"/>
    </xf>
    <xf numFmtId="0" fontId="14" fillId="6" borderId="58" xfId="2" applyFill="1" applyBorder="1" applyAlignment="1">
      <alignment horizontal="center" vertical="center"/>
    </xf>
    <xf numFmtId="0" fontId="17" fillId="6" borderId="3" xfId="2" applyFont="1" applyFill="1" applyBorder="1" applyAlignment="1">
      <alignment horizontal="center" vertical="center"/>
    </xf>
    <xf numFmtId="38" fontId="17" fillId="6" borderId="45" xfId="3" applyFont="1" applyFill="1" applyBorder="1" applyAlignment="1">
      <alignment horizontal="center" vertical="center"/>
    </xf>
    <xf numFmtId="0" fontId="17" fillId="6" borderId="60" xfId="2" applyFont="1" applyFill="1" applyBorder="1" applyAlignment="1">
      <alignment horizontal="center" vertical="center"/>
    </xf>
    <xf numFmtId="0" fontId="14" fillId="0" borderId="24" xfId="2" applyBorder="1">
      <alignment vertical="center"/>
    </xf>
    <xf numFmtId="0" fontId="14" fillId="0" borderId="24" xfId="2" applyBorder="1" applyAlignment="1">
      <alignment vertical="center" shrinkToFit="1"/>
    </xf>
    <xf numFmtId="38" fontId="0" fillId="0" borderId="24" xfId="3" applyFont="1" applyBorder="1" applyAlignment="1">
      <alignment horizontal="right" vertical="center" shrinkToFit="1"/>
    </xf>
    <xf numFmtId="38" fontId="0" fillId="0" borderId="8" xfId="3" applyFont="1" applyBorder="1" applyAlignment="1">
      <alignment horizontal="right" vertical="center" shrinkToFit="1"/>
    </xf>
    <xf numFmtId="38" fontId="0" fillId="0" borderId="43" xfId="3" applyFont="1" applyBorder="1" applyAlignment="1">
      <alignment horizontal="right" vertical="center"/>
    </xf>
    <xf numFmtId="0" fontId="14" fillId="0" borderId="61" xfId="2" applyBorder="1">
      <alignment vertical="center"/>
    </xf>
    <xf numFmtId="0" fontId="14" fillId="0" borderId="53" xfId="2" applyBorder="1">
      <alignment vertical="center"/>
    </xf>
    <xf numFmtId="0" fontId="14" fillId="0" borderId="62" xfId="2" applyBorder="1" applyAlignment="1">
      <alignment vertical="center" shrinkToFit="1"/>
    </xf>
    <xf numFmtId="38" fontId="14" fillId="0" borderId="61" xfId="2" applyNumberFormat="1" applyBorder="1">
      <alignment vertical="center"/>
    </xf>
    <xf numFmtId="0" fontId="14" fillId="0" borderId="27" xfId="2" applyBorder="1">
      <alignment vertical="center"/>
    </xf>
    <xf numFmtId="0" fontId="29" fillId="0" borderId="63" xfId="2" applyFont="1" applyBorder="1" applyAlignment="1">
      <alignment vertical="center" shrinkToFit="1"/>
    </xf>
    <xf numFmtId="0" fontId="29" fillId="0" borderId="24" xfId="2" applyFont="1" applyBorder="1" applyAlignment="1">
      <alignment vertical="center" shrinkToFit="1"/>
    </xf>
    <xf numFmtId="38" fontId="29" fillId="0" borderId="24" xfId="3" applyFont="1" applyBorder="1" applyAlignment="1">
      <alignment horizontal="right" vertical="center" shrinkToFit="1"/>
    </xf>
    <xf numFmtId="38" fontId="29" fillId="0" borderId="8" xfId="3" applyFont="1" applyBorder="1" applyAlignment="1">
      <alignment horizontal="right" vertical="center" shrinkToFit="1"/>
    </xf>
    <xf numFmtId="38" fontId="29" fillId="0" borderId="43" xfId="3" applyFont="1" applyBorder="1" applyAlignment="1">
      <alignment horizontal="right" vertical="center"/>
    </xf>
    <xf numFmtId="38" fontId="29" fillId="0" borderId="64" xfId="3" applyFont="1" applyBorder="1" applyAlignment="1">
      <alignment horizontal="right" vertical="center" shrinkToFit="1"/>
    </xf>
    <xf numFmtId="38" fontId="29" fillId="0" borderId="34" xfId="3" applyFont="1" applyBorder="1" applyAlignment="1">
      <alignment horizontal="right" vertical="center" shrinkToFit="1"/>
    </xf>
    <xf numFmtId="38" fontId="29" fillId="0" borderId="46" xfId="3" applyFont="1" applyBorder="1" applyAlignment="1">
      <alignment horizontal="right" vertical="center"/>
    </xf>
    <xf numFmtId="0" fontId="29" fillId="0" borderId="61" xfId="2" applyFont="1" applyBorder="1" applyAlignment="1">
      <alignment vertical="center" shrinkToFit="1"/>
    </xf>
    <xf numFmtId="0" fontId="29" fillId="0" borderId="68" xfId="2" applyFont="1" applyBorder="1" applyAlignment="1">
      <alignment vertical="center" shrinkToFit="1"/>
    </xf>
    <xf numFmtId="38" fontId="29" fillId="0" borderId="47" xfId="3" applyFont="1" applyBorder="1" applyAlignment="1">
      <alignment horizontal="right" vertical="center"/>
    </xf>
    <xf numFmtId="0" fontId="29" fillId="0" borderId="64" xfId="2" applyFont="1" applyBorder="1" applyAlignment="1">
      <alignment vertical="center" shrinkToFit="1"/>
    </xf>
    <xf numFmtId="38" fontId="29" fillId="0" borderId="27" xfId="3" applyFont="1" applyBorder="1" applyAlignment="1">
      <alignment horizontal="right" vertical="center" shrinkToFit="1"/>
    </xf>
    <xf numFmtId="38" fontId="29" fillId="0" borderId="46" xfId="3" applyFont="1" applyBorder="1" applyAlignment="1">
      <alignment horizontal="right" vertical="center" shrinkToFit="1"/>
    </xf>
    <xf numFmtId="38" fontId="29" fillId="0" borderId="0" xfId="3" applyFont="1" applyBorder="1" applyAlignment="1">
      <alignment horizontal="right" vertical="center" shrinkToFit="1"/>
    </xf>
    <xf numFmtId="38" fontId="29" fillId="0" borderId="43" xfId="3" applyFont="1" applyBorder="1" applyAlignment="1">
      <alignment horizontal="right" vertical="center" shrinkToFit="1"/>
    </xf>
    <xf numFmtId="0" fontId="29" fillId="0" borderId="62" xfId="2" applyFont="1" applyBorder="1" applyAlignment="1">
      <alignment vertical="center" shrinkToFit="1"/>
    </xf>
    <xf numFmtId="38" fontId="29" fillId="0" borderId="62" xfId="3" applyFont="1" applyBorder="1" applyAlignment="1">
      <alignment horizontal="right" vertical="center" shrinkToFit="1"/>
    </xf>
    <xf numFmtId="38" fontId="29" fillId="0" borderId="35" xfId="3" applyFont="1" applyBorder="1" applyAlignment="1">
      <alignment horizontal="right" vertical="center" shrinkToFit="1"/>
    </xf>
    <xf numFmtId="38" fontId="29" fillId="0" borderId="26" xfId="3" applyFont="1" applyBorder="1" applyAlignment="1">
      <alignment horizontal="right" vertical="center" shrinkToFit="1"/>
    </xf>
    <xf numFmtId="38" fontId="29" fillId="0" borderId="19" xfId="2" applyNumberFormat="1" applyFont="1" applyBorder="1">
      <alignment vertical="center"/>
    </xf>
    <xf numFmtId="0" fontId="14" fillId="0" borderId="0" xfId="2" applyAlignment="1">
      <alignment vertical="center" shrinkToFit="1"/>
    </xf>
    <xf numFmtId="0" fontId="17" fillId="6" borderId="59" xfId="2" applyFont="1" applyFill="1" applyBorder="1" applyAlignment="1">
      <alignment horizontal="center" vertical="center" shrinkToFit="1"/>
    </xf>
    <xf numFmtId="38" fontId="2" fillId="0" borderId="24" xfId="3" applyFont="1" applyBorder="1" applyAlignment="1">
      <alignment horizontal="right" vertical="center" shrinkToFit="1"/>
    </xf>
    <xf numFmtId="38" fontId="29" fillId="0" borderId="27" xfId="3" applyFont="1" applyFill="1" applyBorder="1" applyAlignment="1">
      <alignment horizontal="right" vertical="center" shrinkToFit="1"/>
    </xf>
    <xf numFmtId="0" fontId="29" fillId="0" borderId="34" xfId="3" applyNumberFormat="1" applyFont="1" applyBorder="1" applyAlignment="1">
      <alignment horizontal="right" vertical="center" shrinkToFit="1"/>
    </xf>
    <xf numFmtId="38" fontId="29" fillId="0" borderId="34" xfId="3" applyFont="1" applyBorder="1" applyAlignment="1">
      <alignment horizontal="right" vertical="center"/>
    </xf>
    <xf numFmtId="38" fontId="2" fillId="0" borderId="67" xfId="3" applyFont="1" applyFill="1" applyBorder="1" applyAlignment="1">
      <alignment horizontal="right" vertical="center" shrinkToFit="1"/>
    </xf>
    <xf numFmtId="183" fontId="29" fillId="0" borderId="8" xfId="3" applyNumberFormat="1" applyFont="1" applyBorder="1" applyAlignment="1">
      <alignment horizontal="right" vertical="center" shrinkToFit="1"/>
    </xf>
    <xf numFmtId="38" fontId="29" fillId="0" borderId="9" xfId="3" applyFont="1" applyBorder="1" applyAlignment="1">
      <alignment horizontal="right" vertical="center"/>
    </xf>
    <xf numFmtId="38" fontId="2" fillId="0" borderId="0" xfId="3" applyFont="1" applyFill="1" applyBorder="1" applyAlignment="1">
      <alignment horizontal="right" vertical="center" shrinkToFit="1"/>
    </xf>
    <xf numFmtId="184" fontId="2" fillId="0" borderId="8" xfId="3" applyNumberFormat="1" applyFont="1" applyBorder="1" applyAlignment="1">
      <alignment horizontal="right" vertical="center" shrinkToFit="1"/>
    </xf>
    <xf numFmtId="38" fontId="2" fillId="0" borderId="9" xfId="3" applyFont="1" applyBorder="1" applyAlignment="1">
      <alignment horizontal="right" vertical="center"/>
    </xf>
    <xf numFmtId="38" fontId="29" fillId="0" borderId="0" xfId="3" applyFont="1" applyFill="1" applyBorder="1" applyAlignment="1">
      <alignment horizontal="right" vertical="center" shrinkToFit="1"/>
    </xf>
    <xf numFmtId="0" fontId="29" fillId="0" borderId="8" xfId="3" applyNumberFormat="1" applyFont="1" applyBorder="1" applyAlignment="1">
      <alignment horizontal="right" vertical="center" shrinkToFit="1"/>
    </xf>
    <xf numFmtId="184" fontId="29" fillId="0" borderId="8" xfId="3" applyNumberFormat="1" applyFont="1" applyBorder="1" applyAlignment="1">
      <alignment horizontal="right" vertical="center" shrinkToFit="1"/>
    </xf>
    <xf numFmtId="38" fontId="2" fillId="2" borderId="0" xfId="3" applyFont="1" applyFill="1" applyBorder="1" applyAlignment="1">
      <alignment horizontal="right" vertical="center" shrinkToFit="1"/>
    </xf>
    <xf numFmtId="38" fontId="2" fillId="0" borderId="0" xfId="3" applyFont="1" applyBorder="1" applyAlignment="1">
      <alignment horizontal="right" vertical="center" shrinkToFit="1"/>
    </xf>
    <xf numFmtId="185" fontId="29" fillId="0" borderId="35" xfId="3" applyNumberFormat="1" applyFont="1" applyBorder="1" applyAlignment="1">
      <alignment horizontal="right" vertical="center" shrinkToFit="1"/>
    </xf>
    <xf numFmtId="38" fontId="2" fillId="0" borderId="34" xfId="3" applyFont="1" applyBorder="1" applyAlignment="1">
      <alignment horizontal="right" vertical="center" shrinkToFit="1"/>
    </xf>
    <xf numFmtId="38" fontId="2" fillId="0" borderId="46" xfId="3" applyFont="1" applyBorder="1" applyAlignment="1">
      <alignment horizontal="right" vertical="center"/>
    </xf>
    <xf numFmtId="38" fontId="2" fillId="0" borderId="64" xfId="3" applyFont="1" applyBorder="1" applyAlignment="1">
      <alignment horizontal="right" vertical="center" shrinkToFit="1"/>
    </xf>
    <xf numFmtId="38" fontId="29" fillId="0" borderId="61" xfId="2" applyNumberFormat="1" applyFont="1" applyBorder="1">
      <alignment vertical="center"/>
    </xf>
    <xf numFmtId="38" fontId="2" fillId="0" borderId="8" xfId="3" applyFont="1" applyBorder="1" applyAlignment="1">
      <alignment horizontal="right" vertical="center" shrinkToFit="1"/>
    </xf>
    <xf numFmtId="38" fontId="2" fillId="0" borderId="43" xfId="3" applyFont="1" applyBorder="1" applyAlignment="1">
      <alignment horizontal="right" vertical="center"/>
    </xf>
    <xf numFmtId="38" fontId="2" fillId="0" borderId="62" xfId="3" applyFont="1" applyBorder="1" applyAlignment="1">
      <alignment horizontal="right" vertical="center" shrinkToFit="1"/>
    </xf>
    <xf numFmtId="38" fontId="2" fillId="0" borderId="35" xfId="3" applyFont="1" applyBorder="1" applyAlignment="1">
      <alignment horizontal="right" vertical="center" shrinkToFit="1"/>
    </xf>
    <xf numFmtId="38" fontId="2" fillId="0" borderId="47" xfId="3" applyFont="1" applyBorder="1" applyAlignment="1">
      <alignment horizontal="right" vertical="center"/>
    </xf>
    <xf numFmtId="38" fontId="29" fillId="0" borderId="53" xfId="3" applyFont="1" applyBorder="1" applyAlignment="1">
      <alignment horizontal="right" vertical="center" shrinkToFit="1"/>
    </xf>
    <xf numFmtId="0" fontId="0" fillId="0" borderId="0" xfId="0" applyAlignment="1">
      <alignment horizontal="left" vertical="center" wrapText="1" shrinkToFit="1"/>
    </xf>
    <xf numFmtId="0" fontId="29" fillId="0" borderId="65" xfId="2" applyFont="1" applyBorder="1" applyAlignment="1">
      <alignment vertical="center" shrinkToFit="1"/>
    </xf>
    <xf numFmtId="0" fontId="29" fillId="0" borderId="53" xfId="2" applyFont="1" applyBorder="1" applyAlignment="1">
      <alignment vertical="center" shrinkToFit="1"/>
    </xf>
    <xf numFmtId="0" fontId="29" fillId="0" borderId="66" xfId="2" applyFont="1" applyBorder="1" applyAlignment="1">
      <alignment vertical="center" shrinkToFit="1"/>
    </xf>
    <xf numFmtId="38" fontId="29" fillId="0" borderId="63" xfId="2" applyNumberFormat="1" applyFont="1" applyBorder="1">
      <alignment vertical="center"/>
    </xf>
    <xf numFmtId="0" fontId="17" fillId="4" borderId="57" xfId="2" applyFont="1" applyFill="1" applyBorder="1" applyAlignment="1">
      <alignment horizontal="center" vertical="center"/>
    </xf>
    <xf numFmtId="38" fontId="19" fillId="0" borderId="43" xfId="3" applyFont="1" applyBorder="1" applyAlignment="1">
      <alignment horizontal="right" vertical="center"/>
    </xf>
    <xf numFmtId="38" fontId="17" fillId="0" borderId="46" xfId="3" applyFont="1" applyBorder="1" applyAlignment="1">
      <alignment horizontal="right" vertical="center"/>
    </xf>
    <xf numFmtId="38" fontId="17" fillId="0" borderId="47" xfId="3" applyFont="1" applyBorder="1" applyAlignment="1">
      <alignment horizontal="right" vertical="center"/>
    </xf>
    <xf numFmtId="38" fontId="17" fillId="0" borderId="43" xfId="3" applyFont="1" applyBorder="1" applyAlignment="1">
      <alignment horizontal="right" vertical="center"/>
    </xf>
    <xf numFmtId="38" fontId="17" fillId="0" borderId="72" xfId="3" applyFont="1" applyBorder="1" applyAlignment="1">
      <alignment horizontal="right" vertical="center"/>
    </xf>
    <xf numFmtId="38" fontId="21" fillId="4" borderId="45" xfId="3" applyFont="1" applyFill="1" applyBorder="1" applyAlignment="1">
      <alignment horizontal="center" vertical="center" wrapText="1"/>
    </xf>
    <xf numFmtId="38" fontId="17" fillId="0" borderId="49" xfId="3" applyFont="1" applyBorder="1" applyAlignment="1">
      <alignment horizontal="right" vertical="center"/>
    </xf>
    <xf numFmtId="38" fontId="17" fillId="0" borderId="44" xfId="3" applyFont="1" applyBorder="1" applyAlignment="1">
      <alignment horizontal="right" vertical="center"/>
    </xf>
    <xf numFmtId="38" fontId="19" fillId="0" borderId="69" xfId="3" applyFont="1" applyBorder="1">
      <alignment vertical="center"/>
    </xf>
    <xf numFmtId="0" fontId="0" fillId="5" borderId="0" xfId="0" quotePrefix="1" applyFill="1" applyAlignment="1">
      <alignment horizontal="left" vertical="center" shrinkToFit="1"/>
    </xf>
    <xf numFmtId="180" fontId="0" fillId="5" borderId="0" xfId="0" quotePrefix="1" applyNumberFormat="1" applyFill="1" applyAlignment="1">
      <alignment horizontal="left" vertical="center" shrinkToFit="1"/>
    </xf>
    <xf numFmtId="3" fontId="0" fillId="5" borderId="0" xfId="0" applyNumberFormat="1" applyFill="1" applyAlignment="1">
      <alignment vertical="center" shrinkToFit="1"/>
    </xf>
    <xf numFmtId="0" fontId="4" fillId="2" borderId="15" xfId="0" applyFont="1" applyFill="1" applyBorder="1">
      <alignment vertical="center"/>
    </xf>
    <xf numFmtId="0" fontId="30" fillId="2" borderId="0" xfId="0" applyFont="1" applyFill="1">
      <alignment vertical="center"/>
    </xf>
    <xf numFmtId="0" fontId="25" fillId="2" borderId="0" xfId="0" applyFont="1" applyFill="1">
      <alignment vertical="center"/>
    </xf>
    <xf numFmtId="0" fontId="2" fillId="2" borderId="2" xfId="0" applyFont="1" applyFill="1" applyBorder="1" applyAlignment="1">
      <alignment horizontal="distributed" vertical="center"/>
    </xf>
    <xf numFmtId="0" fontId="6" fillId="2" borderId="0" xfId="0" applyFont="1" applyFill="1" applyAlignment="1">
      <alignment horizontal="center" vertical="center"/>
    </xf>
    <xf numFmtId="0" fontId="2" fillId="2" borderId="0" xfId="0" applyFont="1" applyFill="1" applyAlignment="1">
      <alignment horizontal="right" vertical="center"/>
    </xf>
    <xf numFmtId="0" fontId="30" fillId="2" borderId="0" xfId="0" quotePrefix="1" applyFont="1" applyFill="1">
      <alignment vertical="center"/>
    </xf>
    <xf numFmtId="0" fontId="2" fillId="2" borderId="0" xfId="0" applyFont="1" applyFill="1" applyAlignment="1">
      <alignment horizontal="distributed" vertical="center"/>
    </xf>
    <xf numFmtId="0" fontId="2" fillId="2" borderId="0" xfId="0" applyFont="1" applyFill="1" applyAlignment="1">
      <alignment horizontal="left" vertical="center"/>
    </xf>
    <xf numFmtId="0" fontId="25" fillId="2" borderId="0" xfId="0" quotePrefix="1" applyFont="1" applyFill="1">
      <alignment vertical="center"/>
    </xf>
    <xf numFmtId="0" fontId="6" fillId="2" borderId="0" xfId="0" quotePrefix="1" applyFont="1" applyFill="1">
      <alignment vertical="center"/>
    </xf>
    <xf numFmtId="0" fontId="6" fillId="2" borderId="0" xfId="0" quotePrefix="1" applyFont="1" applyFill="1" applyAlignment="1">
      <alignment horizontal="center" vertical="center"/>
    </xf>
    <xf numFmtId="0" fontId="6" fillId="2" borderId="0" xfId="0" applyFont="1" applyFill="1" applyAlignment="1">
      <alignment vertical="center" shrinkToFit="1"/>
    </xf>
    <xf numFmtId="0" fontId="6" fillId="2" borderId="0" xfId="0" applyFont="1" applyFill="1" applyAlignment="1">
      <alignment horizontal="left" vertical="center"/>
    </xf>
    <xf numFmtId="181" fontId="6" fillId="2" borderId="0" xfId="0" applyNumberFormat="1" applyFont="1" applyFill="1" applyAlignment="1">
      <alignment horizontal="distributed" vertical="center"/>
    </xf>
    <xf numFmtId="0" fontId="32" fillId="2" borderId="0" xfId="0" applyFont="1" applyFill="1">
      <alignment vertical="center"/>
    </xf>
    <xf numFmtId="0" fontId="33" fillId="2" borderId="0" xfId="0" applyFont="1" applyFill="1">
      <alignment vertical="center"/>
    </xf>
    <xf numFmtId="0" fontId="2" fillId="2" borderId="0" xfId="0" applyFont="1" applyFill="1" applyAlignment="1">
      <alignment horizontal="center" vertical="center"/>
    </xf>
    <xf numFmtId="176" fontId="6" fillId="2" borderId="0" xfId="0" applyNumberFormat="1" applyFont="1" applyFill="1" applyAlignment="1">
      <alignment horizontal="right" vertical="center"/>
    </xf>
    <xf numFmtId="0" fontId="2" fillId="2" borderId="0" xfId="0" applyFont="1" applyFill="1" applyAlignment="1">
      <alignment horizontal="centerContinuous" vertical="center"/>
    </xf>
    <xf numFmtId="0" fontId="34" fillId="2" borderId="0" xfId="0" applyFont="1" applyFill="1">
      <alignment vertical="center"/>
    </xf>
    <xf numFmtId="0" fontId="30" fillId="2" borderId="0" xfId="0" quotePrefix="1" applyFont="1" applyFill="1" applyAlignment="1"/>
    <xf numFmtId="0" fontId="2" fillId="2" borderId="0" xfId="0" applyFont="1" applyFill="1" applyAlignment="1"/>
    <xf numFmtId="0" fontId="2" fillId="2" borderId="3" xfId="0" quotePrefix="1" applyFont="1" applyFill="1" applyBorder="1" applyAlignment="1">
      <alignment horizontal="center" vertical="center"/>
    </xf>
    <xf numFmtId="0" fontId="2" fillId="2" borderId="15" xfId="0" applyFont="1" applyFill="1" applyBorder="1">
      <alignment vertical="center"/>
    </xf>
    <xf numFmtId="176" fontId="2" fillId="2" borderId="3" xfId="0" applyNumberFormat="1" applyFont="1" applyFill="1" applyBorder="1" applyAlignment="1">
      <alignment horizontal="right" vertical="center" shrinkToFit="1"/>
    </xf>
    <xf numFmtId="176" fontId="2" fillId="2" borderId="0" xfId="0" applyNumberFormat="1" applyFont="1" applyFill="1" applyAlignment="1">
      <alignment horizontal="left" vertical="center" shrinkToFit="1"/>
    </xf>
    <xf numFmtId="182" fontId="2" fillId="2" borderId="0" xfId="0" applyNumberFormat="1" applyFont="1" applyFill="1" applyAlignment="1">
      <alignment vertical="center" shrinkToFit="1"/>
    </xf>
    <xf numFmtId="0" fontId="2" fillId="2" borderId="4" xfId="0" applyFont="1" applyFill="1" applyBorder="1" applyAlignment="1">
      <alignment horizontal="distributed" vertical="center"/>
    </xf>
    <xf numFmtId="0" fontId="2" fillId="2" borderId="5" xfId="0" applyFont="1" applyFill="1" applyBorder="1" applyAlignment="1">
      <alignment vertical="center" shrinkToFit="1"/>
    </xf>
    <xf numFmtId="0" fontId="2" fillId="2" borderId="2" xfId="0" applyFont="1" applyFill="1" applyBorder="1" applyAlignment="1">
      <alignment horizontal="distributed" vertical="center" wrapText="1"/>
    </xf>
    <xf numFmtId="0" fontId="2" fillId="2" borderId="5" xfId="0" applyFont="1" applyFill="1" applyBorder="1">
      <alignment vertical="center"/>
    </xf>
    <xf numFmtId="0" fontId="2" fillId="2" borderId="16" xfId="0" applyFont="1" applyFill="1" applyBorder="1" applyAlignment="1">
      <alignment horizontal="distributed" vertical="center"/>
    </xf>
    <xf numFmtId="0" fontId="2" fillId="2" borderId="15" xfId="0" applyFont="1" applyFill="1" applyBorder="1" applyAlignment="1">
      <alignment vertical="center" wrapText="1"/>
    </xf>
    <xf numFmtId="0" fontId="2" fillId="2" borderId="11" xfId="0" applyFont="1" applyFill="1" applyBorder="1">
      <alignment vertical="center"/>
    </xf>
    <xf numFmtId="0" fontId="2" fillId="2" borderId="10" xfId="0" applyFont="1" applyFill="1" applyBorder="1">
      <alignment vertical="center"/>
    </xf>
    <xf numFmtId="0" fontId="4" fillId="2" borderId="12" xfId="0" applyFont="1" applyFill="1" applyBorder="1">
      <alignment vertical="center"/>
    </xf>
    <xf numFmtId="0" fontId="2" fillId="2" borderId="4" xfId="0" applyFont="1" applyFill="1" applyBorder="1" applyAlignment="1">
      <alignment horizontal="distributed" vertical="center" wrapText="1"/>
    </xf>
    <xf numFmtId="0" fontId="4" fillId="2" borderId="14" xfId="0" applyFont="1" applyFill="1" applyBorder="1" applyAlignment="1">
      <alignment horizontal="distributed" vertical="center"/>
    </xf>
    <xf numFmtId="0" fontId="2" fillId="2" borderId="15" xfId="0" applyFont="1" applyFill="1" applyBorder="1" applyAlignment="1">
      <alignment horizontal="distributed" vertical="center"/>
    </xf>
    <xf numFmtId="0" fontId="4" fillId="2" borderId="4" xfId="0" applyFont="1" applyFill="1" applyBorder="1" applyAlignment="1">
      <alignment horizontal="distributed" vertical="center"/>
    </xf>
    <xf numFmtId="0" fontId="2" fillId="2" borderId="12" xfId="0" applyFont="1" applyFill="1" applyBorder="1" applyAlignment="1">
      <alignment vertical="center" shrinkToFit="1"/>
    </xf>
    <xf numFmtId="0" fontId="2" fillId="2" borderId="1" xfId="0" applyFont="1" applyFill="1" applyBorder="1" applyAlignment="1">
      <alignment horizontal="distributed" vertical="center"/>
    </xf>
    <xf numFmtId="186" fontId="0" fillId="5" borderId="0" xfId="0" applyNumberFormat="1" applyFill="1" applyAlignment="1">
      <alignment horizontal="left" vertical="center" shrinkToFit="1"/>
    </xf>
    <xf numFmtId="20" fontId="0" fillId="5" borderId="0" xfId="0" applyNumberFormat="1" applyFill="1" applyAlignment="1">
      <alignment horizontal="left" vertical="center" shrinkToFit="1"/>
    </xf>
    <xf numFmtId="0" fontId="2" fillId="2" borderId="0" xfId="0" quotePrefix="1" applyFont="1" applyFill="1">
      <alignment vertical="center"/>
    </xf>
    <xf numFmtId="0" fontId="2" fillId="2" borderId="2" xfId="0" applyFont="1" applyFill="1" applyBorder="1">
      <alignment vertical="center"/>
    </xf>
    <xf numFmtId="0" fontId="31" fillId="2" borderId="2" xfId="0" applyFont="1" applyFill="1" applyBorder="1">
      <alignment vertical="center"/>
    </xf>
    <xf numFmtId="0" fontId="4" fillId="2" borderId="4" xfId="0" applyFont="1" applyFill="1" applyBorder="1" applyAlignment="1">
      <alignment horizontal="centerContinuous" vertical="center"/>
    </xf>
    <xf numFmtId="0" fontId="4" fillId="2" borderId="2" xfId="0" applyFont="1" applyFill="1" applyBorder="1" applyAlignment="1">
      <alignment horizontal="centerContinuous" vertical="center"/>
    </xf>
    <xf numFmtId="0" fontId="4" fillId="2" borderId="5" xfId="0" applyFont="1" applyFill="1" applyBorder="1" applyAlignment="1">
      <alignment horizontal="centerContinuous" vertical="center"/>
    </xf>
    <xf numFmtId="0" fontId="4" fillId="2" borderId="10" xfId="0" applyFont="1" applyFill="1" applyBorder="1">
      <alignment vertical="center"/>
    </xf>
    <xf numFmtId="0" fontId="4" fillId="2" borderId="11" xfId="0" applyFont="1" applyFill="1" applyBorder="1">
      <alignment vertical="center"/>
    </xf>
    <xf numFmtId="0" fontId="4" fillId="2" borderId="1" xfId="0" applyFont="1" applyFill="1" applyBorder="1">
      <alignment vertical="center"/>
    </xf>
    <xf numFmtId="0" fontId="4" fillId="2" borderId="13" xfId="0" applyFont="1" applyFill="1" applyBorder="1">
      <alignment vertical="center"/>
    </xf>
    <xf numFmtId="0" fontId="4" fillId="2" borderId="13" xfId="0" applyFont="1" applyFill="1" applyBorder="1" applyAlignment="1">
      <alignment horizontal="right" vertical="center"/>
    </xf>
    <xf numFmtId="0" fontId="4" fillId="2" borderId="9" xfId="0" applyFont="1" applyFill="1" applyBorder="1" applyAlignment="1">
      <alignment horizontal="right" vertical="center"/>
    </xf>
    <xf numFmtId="0" fontId="4" fillId="2" borderId="14" xfId="0" applyFont="1" applyFill="1" applyBorder="1" applyAlignment="1">
      <alignment horizontal="right" vertical="center"/>
    </xf>
    <xf numFmtId="0" fontId="4" fillId="2" borderId="15" xfId="0" applyFont="1" applyFill="1" applyBorder="1" applyAlignment="1">
      <alignment horizontal="right" vertical="center"/>
    </xf>
    <xf numFmtId="0" fontId="4" fillId="2" borderId="0" xfId="0" applyFont="1" applyFill="1" applyAlignment="1">
      <alignment horizontal="right" vertical="center"/>
    </xf>
    <xf numFmtId="0" fontId="4" fillId="2" borderId="1" xfId="0" applyFont="1" applyFill="1" applyBorder="1" applyAlignment="1">
      <alignment horizontal="right" vertical="center"/>
    </xf>
    <xf numFmtId="0" fontId="4" fillId="2" borderId="9" xfId="0" applyFont="1" applyFill="1" applyBorder="1">
      <alignment vertical="center"/>
    </xf>
    <xf numFmtId="0" fontId="4" fillId="2" borderId="14" xfId="0" applyFont="1" applyFill="1" applyBorder="1">
      <alignment vertical="center"/>
    </xf>
    <xf numFmtId="0" fontId="8" fillId="2" borderId="15" xfId="0" applyFont="1" applyFill="1" applyBorder="1">
      <alignment vertical="center"/>
    </xf>
    <xf numFmtId="0" fontId="2" fillId="2" borderId="1" xfId="0" applyFont="1" applyFill="1" applyBorder="1" applyAlignment="1">
      <alignment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0" fontId="2" fillId="2" borderId="5" xfId="0" applyFont="1" applyFill="1" applyBorder="1" applyAlignment="1">
      <alignment vertical="center" wrapText="1"/>
    </xf>
    <xf numFmtId="0" fontId="4" fillId="2" borderId="5" xfId="0" applyFont="1" applyFill="1" applyBorder="1" applyAlignment="1">
      <alignment vertical="center" shrinkToFit="1"/>
    </xf>
    <xf numFmtId="0" fontId="2" fillId="2" borderId="6" xfId="0" applyFont="1" applyFill="1" applyBorder="1" applyAlignment="1">
      <alignment horizontal="center" vertical="center" wrapText="1"/>
    </xf>
    <xf numFmtId="0" fontId="22" fillId="5" borderId="0" xfId="0" applyFont="1" applyFill="1" applyAlignment="1">
      <alignment horizontal="left" vertical="center" shrinkToFit="1"/>
    </xf>
    <xf numFmtId="0" fontId="0" fillId="0" borderId="0" xfId="0" applyAlignment="1">
      <alignment horizontal="left" vertical="center" indent="1"/>
    </xf>
    <xf numFmtId="0" fontId="2" fillId="2" borderId="3" xfId="0" applyFont="1" applyFill="1" applyBorder="1" applyAlignment="1">
      <alignment horizontal="center" vertical="center" wrapText="1"/>
    </xf>
    <xf numFmtId="0" fontId="2" fillId="2" borderId="2" xfId="0" applyFont="1" applyFill="1" applyBorder="1" applyAlignment="1">
      <alignment horizontal="right" vertical="center"/>
    </xf>
    <xf numFmtId="0" fontId="2" fillId="2" borderId="9" xfId="0" applyFont="1" applyFill="1" applyBorder="1" applyAlignment="1">
      <alignment vertical="center" wrapText="1"/>
    </xf>
    <xf numFmtId="0" fontId="2" fillId="2" borderId="9" xfId="0" applyFont="1" applyFill="1" applyBorder="1">
      <alignment vertical="center"/>
    </xf>
    <xf numFmtId="0" fontId="0" fillId="0" borderId="0" xfId="0" applyAlignment="1">
      <alignment horizontal="left" vertical="center" wrapText="1" indent="1"/>
    </xf>
    <xf numFmtId="177" fontId="0" fillId="5" borderId="0" xfId="0" applyNumberFormat="1" applyFill="1" applyAlignment="1">
      <alignment horizontal="left" vertical="center" shrinkToFit="1"/>
    </xf>
    <xf numFmtId="0" fontId="0" fillId="5" borderId="0" xfId="0" applyFill="1" applyAlignment="1">
      <alignment vertical="center" wrapText="1"/>
    </xf>
    <xf numFmtId="0" fontId="2" fillId="2" borderId="2" xfId="0" applyFont="1" applyFill="1" applyBorder="1" applyAlignment="1">
      <alignment horizontal="justify" vertical="center" wrapText="1"/>
    </xf>
    <xf numFmtId="38" fontId="17" fillId="6" borderId="16" xfId="3" applyFont="1" applyFill="1" applyBorder="1" applyAlignment="1">
      <alignment vertical="center"/>
    </xf>
    <xf numFmtId="38" fontId="17" fillId="6" borderId="16" xfId="3" applyFont="1" applyFill="1" applyBorder="1" applyAlignment="1">
      <alignment horizontal="right" vertical="center"/>
    </xf>
    <xf numFmtId="38" fontId="17" fillId="6" borderId="17" xfId="3" applyFont="1" applyFill="1" applyBorder="1" applyAlignment="1">
      <alignment horizontal="right" vertical="center"/>
    </xf>
    <xf numFmtId="38" fontId="29" fillId="0" borderId="75" xfId="3" applyFont="1" applyBorder="1" applyAlignment="1">
      <alignment horizontal="right" vertical="center"/>
    </xf>
    <xf numFmtId="0" fontId="14" fillId="6" borderId="18" xfId="2" applyFill="1" applyBorder="1">
      <alignment vertical="center"/>
    </xf>
    <xf numFmtId="0" fontId="0" fillId="0" borderId="0" xfId="0" applyAlignment="1">
      <alignment vertical="top"/>
    </xf>
    <xf numFmtId="0" fontId="12" fillId="0" borderId="0" xfId="0" applyFont="1">
      <alignment vertical="center"/>
    </xf>
    <xf numFmtId="0" fontId="38" fillId="0" borderId="0" xfId="0" applyFont="1">
      <alignment vertical="center"/>
    </xf>
    <xf numFmtId="188" fontId="0" fillId="0" borderId="0" xfId="0" applyNumberFormat="1" applyAlignment="1">
      <alignment horizontal="left" vertical="center" wrapText="1" shrinkToFit="1"/>
    </xf>
    <xf numFmtId="0" fontId="2" fillId="2" borderId="3" xfId="0" applyFont="1" applyFill="1" applyBorder="1" applyAlignment="1">
      <alignment horizontal="right" vertical="center"/>
    </xf>
    <xf numFmtId="0" fontId="2" fillId="2" borderId="18" xfId="0" applyFont="1" applyFill="1" applyBorder="1" applyAlignment="1">
      <alignment vertical="center" wrapText="1"/>
    </xf>
    <xf numFmtId="0" fontId="2" fillId="2" borderId="12" xfId="0" applyFont="1" applyFill="1" applyBorder="1" applyAlignment="1">
      <alignment vertical="center" wrapText="1" shrinkToFit="1"/>
    </xf>
    <xf numFmtId="0" fontId="2" fillId="2" borderId="1" xfId="0" applyFont="1" applyFill="1" applyBorder="1" applyAlignment="1">
      <alignment horizontal="center" vertical="center"/>
    </xf>
    <xf numFmtId="0" fontId="2" fillId="2" borderId="0" xfId="0" applyFont="1" applyFill="1" applyAlignment="1">
      <alignment horizontal="left" vertical="center" wrapText="1"/>
    </xf>
    <xf numFmtId="0" fontId="2" fillId="2" borderId="4" xfId="0" applyFont="1" applyFill="1" applyBorder="1">
      <alignment vertical="center"/>
    </xf>
    <xf numFmtId="0" fontId="2" fillId="2" borderId="2" xfId="0" applyFont="1" applyFill="1" applyBorder="1">
      <alignment vertical="center"/>
    </xf>
    <xf numFmtId="0" fontId="2" fillId="2" borderId="5" xfId="0" applyFont="1" applyFill="1" applyBorder="1">
      <alignment vertical="center"/>
    </xf>
    <xf numFmtId="0" fontId="2" fillId="2" borderId="17" xfId="0" applyFont="1" applyFill="1" applyBorder="1" applyAlignment="1">
      <alignment vertical="center" wrapText="1"/>
    </xf>
    <xf numFmtId="0" fontId="2" fillId="2" borderId="18" xfId="0" applyFont="1" applyFill="1" applyBorder="1" applyAlignment="1">
      <alignment vertical="center" wrapText="1"/>
    </xf>
    <xf numFmtId="0" fontId="2" fillId="2" borderId="1" xfId="0" applyFont="1" applyFill="1" applyBorder="1" applyAlignment="1">
      <alignment vertical="center" wrapText="1" shrinkToFit="1"/>
    </xf>
    <xf numFmtId="0" fontId="2" fillId="2" borderId="12" xfId="0" applyFont="1" applyFill="1" applyBorder="1" applyAlignment="1">
      <alignment vertical="center" wrapText="1" shrinkToFit="1"/>
    </xf>
    <xf numFmtId="0" fontId="2" fillId="2" borderId="0" xfId="0" applyFont="1" applyFill="1" applyAlignment="1">
      <alignment horizontal="center" vertical="center"/>
    </xf>
    <xf numFmtId="0" fontId="2" fillId="2" borderId="1" xfId="0" applyFont="1" applyFill="1" applyBorder="1" applyAlignment="1">
      <alignment vertical="center" shrinkToFit="1"/>
    </xf>
    <xf numFmtId="0" fontId="2" fillId="2" borderId="12" xfId="0" applyFont="1" applyFill="1" applyBorder="1" applyAlignment="1">
      <alignment vertical="center" shrinkToFit="1"/>
    </xf>
    <xf numFmtId="0" fontId="8" fillId="2" borderId="0" xfId="0" applyFont="1" applyFill="1" applyAlignment="1">
      <alignment horizontal="right" vertical="center"/>
    </xf>
    <xf numFmtId="0" fontId="2" fillId="2" borderId="15" xfId="0" applyFont="1" applyFill="1" applyBorder="1">
      <alignment vertical="center"/>
    </xf>
    <xf numFmtId="0" fontId="2" fillId="2" borderId="10" xfId="0" applyFont="1" applyFill="1" applyBorder="1">
      <alignment vertical="center"/>
    </xf>
    <xf numFmtId="0" fontId="2" fillId="2" borderId="0" xfId="0" applyFont="1" applyFill="1">
      <alignment vertical="center"/>
    </xf>
    <xf numFmtId="0" fontId="2" fillId="2" borderId="11" xfId="0" applyFont="1" applyFill="1" applyBorder="1">
      <alignment vertical="center"/>
    </xf>
    <xf numFmtId="0" fontId="2" fillId="2" borderId="2" xfId="0" applyFont="1" applyFill="1" applyBorder="1" applyAlignment="1">
      <alignment vertical="center" wrapText="1"/>
    </xf>
    <xf numFmtId="0" fontId="2" fillId="2" borderId="5" xfId="0" applyFont="1" applyFill="1" applyBorder="1" applyAlignment="1">
      <alignment vertical="center" wrapText="1"/>
    </xf>
    <xf numFmtId="0" fontId="2" fillId="2" borderId="1" xfId="0" applyFont="1" applyFill="1" applyBorder="1">
      <alignment vertical="center"/>
    </xf>
    <xf numFmtId="0" fontId="2" fillId="2" borderId="12" xfId="0" applyFont="1" applyFill="1" applyBorder="1">
      <alignment vertical="center"/>
    </xf>
    <xf numFmtId="0" fontId="2" fillId="2" borderId="15" xfId="0" applyFont="1" applyFill="1" applyBorder="1" applyAlignment="1">
      <alignment vertical="center" wrapText="1"/>
    </xf>
    <xf numFmtId="0" fontId="2" fillId="2" borderId="10" xfId="0" applyFont="1" applyFill="1" applyBorder="1" applyAlignment="1">
      <alignment vertical="center" wrapText="1"/>
    </xf>
    <xf numFmtId="0" fontId="2" fillId="2" borderId="1" xfId="0" applyFont="1" applyFill="1" applyBorder="1" applyAlignment="1">
      <alignment vertical="center" wrapText="1"/>
    </xf>
    <xf numFmtId="0" fontId="2" fillId="2" borderId="12" xfId="0" applyFont="1" applyFill="1" applyBorder="1" applyAlignment="1">
      <alignmen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1" fillId="2" borderId="2" xfId="0" applyFont="1" applyFill="1" applyBorder="1">
      <alignment vertical="center"/>
    </xf>
    <xf numFmtId="0" fontId="31" fillId="2" borderId="5" xfId="0" applyFont="1" applyFill="1" applyBorder="1">
      <alignment vertical="center"/>
    </xf>
    <xf numFmtId="0" fontId="2" fillId="2" borderId="4" xfId="0" applyFont="1" applyFill="1" applyBorder="1" applyAlignment="1">
      <alignment horizontal="distributed" vertical="center"/>
    </xf>
    <xf numFmtId="0" fontId="2" fillId="2" borderId="2" xfId="0" applyFont="1" applyFill="1" applyBorder="1" applyAlignment="1">
      <alignment horizontal="distributed" vertical="center"/>
    </xf>
    <xf numFmtId="0" fontId="2" fillId="2" borderId="5" xfId="0" applyFont="1" applyFill="1" applyBorder="1" applyAlignment="1">
      <alignment horizontal="distributed" vertical="center"/>
    </xf>
    <xf numFmtId="0" fontId="2" fillId="2" borderId="4" xfId="0" quotePrefix="1" applyFont="1" applyFill="1" applyBorder="1" applyAlignment="1">
      <alignment horizontal="distributed" vertical="center"/>
    </xf>
    <xf numFmtId="0" fontId="2" fillId="2" borderId="2" xfId="0" quotePrefix="1" applyFont="1" applyFill="1" applyBorder="1" applyAlignment="1">
      <alignment horizontal="distributed" vertical="center"/>
    </xf>
    <xf numFmtId="0" fontId="2" fillId="2" borderId="5" xfId="0" quotePrefix="1" applyFont="1" applyFill="1" applyBorder="1" applyAlignment="1">
      <alignment horizontal="distributed" vertical="center"/>
    </xf>
    <xf numFmtId="0" fontId="2" fillId="2" borderId="2" xfId="0" applyFont="1" applyFill="1" applyBorder="1" applyAlignment="1">
      <alignment horizontal="center" vertical="center"/>
    </xf>
    <xf numFmtId="0" fontId="2" fillId="2" borderId="13" xfId="0" applyFont="1" applyFill="1" applyBorder="1" applyAlignment="1">
      <alignment vertical="center" wrapText="1"/>
    </xf>
    <xf numFmtId="0" fontId="2" fillId="2" borderId="13" xfId="0" applyFont="1" applyFill="1" applyBorder="1">
      <alignment vertical="center"/>
    </xf>
    <xf numFmtId="0" fontId="2" fillId="2" borderId="13" xfId="0" applyFont="1" applyFill="1" applyBorder="1" applyAlignment="1">
      <alignment horizontal="distributed" vertical="center"/>
    </xf>
    <xf numFmtId="0" fontId="2" fillId="2" borderId="15" xfId="0" applyFont="1" applyFill="1" applyBorder="1" applyAlignment="1">
      <alignment horizontal="distributed" vertical="center"/>
    </xf>
    <xf numFmtId="0" fontId="2" fillId="2" borderId="10" xfId="0" applyFont="1" applyFill="1" applyBorder="1" applyAlignment="1">
      <alignment horizontal="distributed" vertical="center"/>
    </xf>
    <xf numFmtId="0" fontId="2" fillId="2" borderId="14" xfId="0" applyFont="1" applyFill="1" applyBorder="1" applyAlignment="1">
      <alignment horizontal="distributed" vertical="center"/>
    </xf>
    <xf numFmtId="0" fontId="2" fillId="2" borderId="1" xfId="0" applyFont="1" applyFill="1" applyBorder="1" applyAlignment="1">
      <alignment horizontal="distributed" vertical="center"/>
    </xf>
    <xf numFmtId="0" fontId="2" fillId="2" borderId="12" xfId="0" applyFont="1" applyFill="1" applyBorder="1" applyAlignment="1">
      <alignment horizontal="distributed" vertical="center"/>
    </xf>
    <xf numFmtId="0" fontId="2" fillId="2" borderId="14" xfId="0" applyFont="1" applyFill="1" applyBorder="1">
      <alignment vertical="center"/>
    </xf>
    <xf numFmtId="0" fontId="2" fillId="2" borderId="33" xfId="0" applyFont="1" applyFill="1" applyBorder="1" applyAlignment="1">
      <alignment horizontal="distributed" vertical="center" wrapText="1"/>
    </xf>
    <xf numFmtId="0" fontId="2" fillId="2" borderId="2" xfId="0" applyFont="1" applyFill="1" applyBorder="1" applyAlignment="1">
      <alignment horizontal="distributed" vertical="center" wrapText="1"/>
    </xf>
    <xf numFmtId="0" fontId="2" fillId="2" borderId="13" xfId="0" applyFont="1" applyFill="1" applyBorder="1" applyAlignment="1">
      <alignment horizontal="distributed" vertical="center" wrapText="1"/>
    </xf>
    <xf numFmtId="0" fontId="2" fillId="2" borderId="15" xfId="0" applyFont="1" applyFill="1" applyBorder="1" applyAlignment="1">
      <alignment horizontal="distributed" vertical="center" wrapText="1"/>
    </xf>
    <xf numFmtId="0" fontId="2" fillId="2" borderId="14" xfId="0" applyFont="1" applyFill="1" applyBorder="1" applyAlignment="1">
      <alignment horizontal="distributed" vertical="center" wrapText="1"/>
    </xf>
    <xf numFmtId="0" fontId="2" fillId="2" borderId="1" xfId="0" applyFont="1" applyFill="1" applyBorder="1" applyAlignment="1">
      <alignment horizontal="distributed" vertical="center" wrapText="1"/>
    </xf>
    <xf numFmtId="0" fontId="2" fillId="2" borderId="4" xfId="0" applyFont="1" applyFill="1" applyBorder="1" applyAlignment="1">
      <alignment horizontal="distributed" vertical="center" wrapText="1"/>
    </xf>
    <xf numFmtId="0" fontId="2" fillId="2" borderId="3" xfId="0" applyFont="1" applyFill="1" applyBorder="1">
      <alignment vertical="center"/>
    </xf>
    <xf numFmtId="0" fontId="2" fillId="2" borderId="16" xfId="0" applyFont="1" applyFill="1" applyBorder="1" applyAlignment="1">
      <alignment horizontal="distributed" vertical="center"/>
    </xf>
    <xf numFmtId="0" fontId="2" fillId="2" borderId="17" xfId="0" applyFont="1" applyFill="1" applyBorder="1" applyAlignment="1">
      <alignment horizontal="distributed" vertical="center"/>
    </xf>
    <xf numFmtId="0" fontId="2" fillId="2" borderId="74" xfId="0" applyFont="1" applyFill="1" applyBorder="1" applyAlignment="1">
      <alignment horizontal="distributed" vertical="center"/>
    </xf>
    <xf numFmtId="0" fontId="2" fillId="2" borderId="73" xfId="0" applyFont="1" applyFill="1" applyBorder="1" applyAlignment="1">
      <alignment horizontal="distributed" vertical="center"/>
    </xf>
    <xf numFmtId="0" fontId="2" fillId="2" borderId="15" xfId="0" applyFont="1" applyFill="1" applyBorder="1" applyAlignment="1">
      <alignment horizontal="right" vertical="center"/>
    </xf>
    <xf numFmtId="0" fontId="2" fillId="2" borderId="10" xfId="0" applyFont="1" applyFill="1" applyBorder="1" applyAlignment="1">
      <alignment horizontal="right" vertical="center"/>
    </xf>
    <xf numFmtId="0" fontId="2" fillId="2" borderId="1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vertical="center" wrapText="1"/>
    </xf>
    <xf numFmtId="0" fontId="4" fillId="2" borderId="2" xfId="0" applyFont="1" applyFill="1" applyBorder="1" applyAlignment="1">
      <alignment vertical="center" wrapText="1"/>
    </xf>
    <xf numFmtId="0" fontId="4" fillId="2" borderId="5" xfId="0" applyFont="1" applyFill="1" applyBorder="1" applyAlignment="1">
      <alignment vertical="center" wrapText="1"/>
    </xf>
    <xf numFmtId="0" fontId="4" fillId="2" borderId="1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vertical="center" wrapText="1"/>
    </xf>
    <xf numFmtId="0" fontId="4" fillId="2" borderId="10" xfId="0" applyFont="1" applyFill="1" applyBorder="1" applyAlignment="1">
      <alignment vertical="center" wrapText="1"/>
    </xf>
    <xf numFmtId="0" fontId="4" fillId="2" borderId="0" xfId="0" applyFont="1" applyFill="1" applyAlignment="1">
      <alignment vertical="center" wrapText="1"/>
    </xf>
    <xf numFmtId="0" fontId="4" fillId="2" borderId="11" xfId="0" applyFont="1" applyFill="1" applyBorder="1" applyAlignment="1">
      <alignment vertical="center" wrapText="1"/>
    </xf>
    <xf numFmtId="0" fontId="4" fillId="2" borderId="1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3"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0" xfId="0" applyFont="1" applyFill="1" applyAlignment="1">
      <alignment horizontal="center" vertical="center"/>
    </xf>
    <xf numFmtId="0" fontId="4" fillId="2" borderId="9" xfId="0" applyFont="1" applyFill="1" applyBorder="1" applyAlignment="1">
      <alignment vertical="center" wrapText="1"/>
    </xf>
    <xf numFmtId="0" fontId="4" fillId="2" borderId="14" xfId="0" applyFont="1" applyFill="1" applyBorder="1" applyAlignment="1">
      <alignment vertical="center" wrapText="1"/>
    </xf>
    <xf numFmtId="0" fontId="4" fillId="2" borderId="1" xfId="0" applyFont="1" applyFill="1" applyBorder="1" applyAlignment="1">
      <alignment vertical="center" wrapText="1"/>
    </xf>
    <xf numFmtId="0" fontId="4" fillId="2" borderId="12" xfId="0" applyFont="1" applyFill="1" applyBorder="1" applyAlignment="1">
      <alignment vertical="center" wrapText="1"/>
    </xf>
    <xf numFmtId="0" fontId="4" fillId="2" borderId="15"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0" fontId="2" fillId="2" borderId="5" xfId="0" applyFont="1" applyFill="1" applyBorder="1" applyAlignment="1">
      <alignment horizontal="center" vertical="center" wrapText="1"/>
    </xf>
    <xf numFmtId="0" fontId="2" fillId="2" borderId="0" xfId="0" applyFont="1" applyFill="1" applyAlignment="1">
      <alignment vertical="center" wrapText="1"/>
    </xf>
    <xf numFmtId="0" fontId="17" fillId="0" borderId="0" xfId="2" applyFont="1" applyAlignment="1">
      <alignment vertical="center" shrinkToFit="1"/>
    </xf>
    <xf numFmtId="0" fontId="17" fillId="0" borderId="11" xfId="2" applyFont="1" applyBorder="1" applyAlignment="1">
      <alignment vertical="center" shrinkToFit="1"/>
    </xf>
    <xf numFmtId="0" fontId="16" fillId="0" borderId="16" xfId="2" applyFont="1" applyBorder="1" applyAlignment="1">
      <alignment horizontal="center" vertical="center"/>
    </xf>
    <xf numFmtId="0" fontId="16" fillId="0" borderId="17" xfId="2" applyFont="1" applyBorder="1" applyAlignment="1">
      <alignment horizontal="center" vertical="center"/>
    </xf>
    <xf numFmtId="0" fontId="16" fillId="0" borderId="18" xfId="2" applyFont="1" applyBorder="1" applyAlignment="1">
      <alignment horizontal="center" vertical="center"/>
    </xf>
    <xf numFmtId="0" fontId="21" fillId="2" borderId="16" xfId="2" applyFont="1" applyFill="1" applyBorder="1" applyAlignment="1">
      <alignment vertical="center" shrinkToFit="1"/>
    </xf>
    <xf numFmtId="0" fontId="21" fillId="2" borderId="18" xfId="2" applyFont="1" applyFill="1" applyBorder="1" applyAlignment="1">
      <alignment vertical="center" shrinkToFit="1"/>
    </xf>
    <xf numFmtId="0" fontId="17" fillId="0" borderId="27" xfId="2" applyFont="1" applyBorder="1" applyAlignment="1">
      <alignment vertical="center" shrinkToFit="1"/>
    </xf>
    <xf numFmtId="0" fontId="17" fillId="0" borderId="28" xfId="2" applyFont="1" applyBorder="1" applyAlignment="1">
      <alignment vertical="center" shrinkToFit="1"/>
    </xf>
    <xf numFmtId="0" fontId="17" fillId="0" borderId="25" xfId="2" applyFont="1" applyBorder="1" applyAlignment="1">
      <alignment horizontal="left" vertical="center" shrinkToFit="1"/>
    </xf>
    <xf numFmtId="0" fontId="17" fillId="0" borderId="26" xfId="2" applyFont="1" applyBorder="1" applyAlignment="1">
      <alignment horizontal="left" vertical="center" shrinkToFit="1"/>
    </xf>
    <xf numFmtId="0" fontId="19" fillId="0" borderId="32" xfId="2" applyFont="1" applyBorder="1" applyAlignment="1">
      <alignment horizontal="left" vertical="center" shrinkToFit="1"/>
    </xf>
    <xf numFmtId="0" fontId="19" fillId="0" borderId="31" xfId="2" applyFont="1" applyBorder="1" applyAlignment="1">
      <alignment horizontal="left" vertical="center" shrinkToFit="1"/>
    </xf>
    <xf numFmtId="0" fontId="17" fillId="4" borderId="33" xfId="2" applyFont="1" applyFill="1" applyBorder="1" applyAlignment="1">
      <alignment horizontal="center" vertical="center"/>
    </xf>
    <xf numFmtId="0" fontId="17" fillId="4" borderId="2" xfId="2" applyFont="1" applyFill="1" applyBorder="1" applyAlignment="1">
      <alignment horizontal="center" vertical="center"/>
    </xf>
    <xf numFmtId="0" fontId="17" fillId="4" borderId="5" xfId="2" applyFont="1" applyFill="1" applyBorder="1" applyAlignment="1">
      <alignment horizontal="center" vertical="center"/>
    </xf>
    <xf numFmtId="0" fontId="17" fillId="0" borderId="26" xfId="2" applyFont="1" applyBorder="1" applyAlignment="1">
      <alignment vertical="center" shrinkToFit="1"/>
    </xf>
    <xf numFmtId="0" fontId="17" fillId="0" borderId="30" xfId="2" applyFont="1" applyBorder="1" applyAlignment="1">
      <alignment vertical="center" shrinkToFit="1"/>
    </xf>
    <xf numFmtId="0" fontId="17" fillId="0" borderId="13" xfId="2" applyFont="1" applyBorder="1" applyAlignment="1">
      <alignment horizontal="left" vertical="center" shrinkToFit="1"/>
    </xf>
    <xf numFmtId="0" fontId="17" fillId="0" borderId="15" xfId="2" applyFont="1" applyBorder="1" applyAlignment="1">
      <alignment horizontal="left" vertical="center" shrinkToFit="1"/>
    </xf>
    <xf numFmtId="0" fontId="17" fillId="0" borderId="27" xfId="2" applyFont="1" applyBorder="1" applyAlignment="1">
      <alignment vertical="top" wrapText="1"/>
    </xf>
    <xf numFmtId="0" fontId="17" fillId="0" borderId="28" xfId="2" applyFont="1" applyBorder="1" applyAlignment="1">
      <alignment vertical="top" wrapText="1"/>
    </xf>
    <xf numFmtId="0" fontId="17" fillId="4" borderId="20" xfId="2" applyFont="1" applyFill="1" applyBorder="1" applyAlignment="1">
      <alignment horizontal="center" vertical="center"/>
    </xf>
    <xf numFmtId="0" fontId="17" fillId="4" borderId="21" xfId="2" applyFont="1" applyFill="1" applyBorder="1" applyAlignment="1">
      <alignment horizontal="center" vertical="center"/>
    </xf>
    <xf numFmtId="0" fontId="17" fillId="4" borderId="22" xfId="2" applyFont="1" applyFill="1" applyBorder="1" applyAlignment="1">
      <alignment horizontal="center" vertical="center"/>
    </xf>
    <xf numFmtId="0" fontId="17" fillId="4" borderId="23" xfId="2" applyFont="1" applyFill="1" applyBorder="1" applyAlignment="1">
      <alignment horizontal="center" vertical="center"/>
    </xf>
    <xf numFmtId="0" fontId="17" fillId="0" borderId="29" xfId="2" applyFont="1" applyBorder="1" applyAlignment="1">
      <alignment horizontal="left" vertical="center" shrinkToFit="1"/>
    </xf>
    <xf numFmtId="0" fontId="17" fillId="0" borderId="27" xfId="2" applyFont="1" applyBorder="1" applyAlignment="1">
      <alignment horizontal="left" vertical="center" shrinkToFit="1"/>
    </xf>
    <xf numFmtId="0" fontId="17" fillId="0" borderId="26" xfId="2" applyFont="1" applyBorder="1">
      <alignment vertical="center"/>
    </xf>
    <xf numFmtId="0" fontId="2" fillId="2" borderId="1" xfId="0" applyFont="1" applyFill="1" applyBorder="1" applyAlignment="1">
      <alignment horizontal="left" vertical="center" wrapText="1"/>
    </xf>
    <xf numFmtId="0" fontId="2" fillId="2" borderId="9" xfId="0" applyFont="1" applyFill="1" applyBorder="1" applyAlignment="1">
      <alignment horizontal="distributed" vertical="center"/>
    </xf>
    <xf numFmtId="0" fontId="2" fillId="2" borderId="0" xfId="0" applyFont="1" applyFill="1" applyAlignment="1">
      <alignment horizontal="right" vertical="center"/>
    </xf>
    <xf numFmtId="0" fontId="6" fillId="2" borderId="0" xfId="0" applyFont="1" applyFill="1" applyAlignment="1">
      <alignment vertical="top" wrapText="1"/>
    </xf>
    <xf numFmtId="0" fontId="6" fillId="2" borderId="0" xfId="0" applyFont="1" applyFill="1">
      <alignment vertical="center"/>
    </xf>
    <xf numFmtId="0" fontId="6" fillId="2" borderId="0" xfId="0" applyFont="1" applyFill="1" applyAlignment="1">
      <alignment horizontal="left" vertical="center" indent="1"/>
    </xf>
    <xf numFmtId="0" fontId="14" fillId="6" borderId="16" xfId="2" applyFill="1" applyBorder="1" applyAlignment="1">
      <alignment horizontal="center" vertical="center"/>
    </xf>
    <xf numFmtId="0" fontId="14" fillId="6" borderId="17" xfId="2" applyFill="1" applyBorder="1" applyAlignment="1">
      <alignment horizontal="center" vertical="center"/>
    </xf>
    <xf numFmtId="0" fontId="14" fillId="6" borderId="18" xfId="2" applyFill="1" applyBorder="1" applyAlignment="1">
      <alignment horizontal="center" vertical="center"/>
    </xf>
    <xf numFmtId="0" fontId="24" fillId="6" borderId="16" xfId="2" applyFont="1" applyFill="1" applyBorder="1" applyAlignment="1">
      <alignment horizontal="center" vertical="center"/>
    </xf>
    <xf numFmtId="0" fontId="24" fillId="6" borderId="17" xfId="2" applyFont="1" applyFill="1" applyBorder="1" applyAlignment="1">
      <alignment horizontal="center" vertical="center"/>
    </xf>
    <xf numFmtId="0" fontId="24" fillId="6" borderId="18" xfId="2" applyFont="1" applyFill="1" applyBorder="1" applyAlignment="1">
      <alignment horizontal="center" vertical="center"/>
    </xf>
    <xf numFmtId="0" fontId="23" fillId="0" borderId="17" xfId="2" applyFont="1" applyBorder="1" applyAlignment="1">
      <alignment vertical="center" shrinkToFit="1"/>
    </xf>
    <xf numFmtId="0" fontId="23" fillId="0" borderId="18" xfId="2" applyFont="1" applyBorder="1" applyAlignment="1">
      <alignment vertical="center" shrinkToFit="1"/>
    </xf>
    <xf numFmtId="0" fontId="14" fillId="6" borderId="56" xfId="2" applyFill="1" applyBorder="1" applyAlignment="1">
      <alignment horizontal="center" vertical="center"/>
    </xf>
    <xf numFmtId="0" fontId="14" fillId="6" borderId="42" xfId="2" applyFill="1" applyBorder="1" applyAlignment="1">
      <alignment horizontal="center" vertical="center"/>
    </xf>
    <xf numFmtId="0" fontId="14" fillId="6" borderId="23" xfId="2" applyFill="1" applyBorder="1" applyAlignment="1">
      <alignment horizontal="center" vertical="center"/>
    </xf>
    <xf numFmtId="0" fontId="14" fillId="6" borderId="59" xfId="2" applyFill="1" applyBorder="1" applyAlignment="1">
      <alignment horizontal="center" vertical="center"/>
    </xf>
    <xf numFmtId="0" fontId="14" fillId="6" borderId="3" xfId="2" applyFill="1" applyBorder="1" applyAlignment="1">
      <alignment horizontal="center" vertical="center"/>
    </xf>
    <xf numFmtId="0" fontId="14" fillId="6" borderId="4" xfId="2" applyFill="1" applyBorder="1" applyAlignment="1">
      <alignment horizontal="center" vertical="center"/>
    </xf>
    <xf numFmtId="0" fontId="14" fillId="6" borderId="20" xfId="2" applyFill="1" applyBorder="1" applyAlignment="1">
      <alignment horizontal="center" vertical="center"/>
    </xf>
    <xf numFmtId="0" fontId="14" fillId="6" borderId="33" xfId="2" applyFill="1" applyBorder="1" applyAlignment="1">
      <alignment horizontal="center" vertical="center"/>
    </xf>
    <xf numFmtId="0" fontId="14" fillId="6" borderId="57" xfId="2" applyFill="1" applyBorder="1" applyAlignment="1">
      <alignment horizontal="center" vertical="center"/>
    </xf>
    <xf numFmtId="0" fontId="14" fillId="0" borderId="27" xfId="2" applyBorder="1" applyAlignment="1">
      <alignment vertical="center" shrinkToFit="1"/>
    </xf>
    <xf numFmtId="0" fontId="14" fillId="0" borderId="65" xfId="2" applyBorder="1" applyAlignment="1">
      <alignment vertical="center" shrinkToFit="1"/>
    </xf>
    <xf numFmtId="0" fontId="14" fillId="6" borderId="70" xfId="2" applyFill="1" applyBorder="1" applyAlignment="1">
      <alignment horizontal="center" vertical="center"/>
    </xf>
    <xf numFmtId="0" fontId="14" fillId="6" borderId="71" xfId="2" applyFill="1" applyBorder="1" applyAlignment="1">
      <alignment horizontal="center" vertical="center"/>
    </xf>
    <xf numFmtId="0" fontId="14" fillId="0" borderId="27" xfId="2" applyBorder="1">
      <alignment vertical="center"/>
    </xf>
    <xf numFmtId="0" fontId="6" fillId="2" borderId="0" xfId="0" applyFont="1" applyFill="1" applyAlignment="1">
      <alignment horizontal="right" vertical="center"/>
    </xf>
    <xf numFmtId="0" fontId="4" fillId="2" borderId="1" xfId="0" applyFont="1" applyFill="1" applyBorder="1" applyAlignment="1">
      <alignment vertical="center" shrinkToFit="1"/>
    </xf>
    <xf numFmtId="0" fontId="4" fillId="2" borderId="12" xfId="0" applyFont="1" applyFill="1" applyBorder="1" applyAlignment="1">
      <alignment vertical="center" shrinkToFit="1"/>
    </xf>
    <xf numFmtId="0" fontId="4" fillId="2" borderId="0" xfId="0" applyFont="1" applyFill="1">
      <alignment vertical="center"/>
    </xf>
    <xf numFmtId="0" fontId="4" fillId="2" borderId="11" xfId="0" applyFont="1" applyFill="1" applyBorder="1">
      <alignment vertical="center"/>
    </xf>
    <xf numFmtId="0" fontId="4" fillId="2" borderId="2" xfId="0" applyFont="1" applyFill="1" applyBorder="1" applyAlignment="1">
      <alignment vertical="center" shrinkToFit="1"/>
    </xf>
    <xf numFmtId="0" fontId="6" fillId="2" borderId="1" xfId="0" applyFont="1" applyFill="1" applyBorder="1">
      <alignment vertical="center"/>
    </xf>
    <xf numFmtId="0" fontId="4" fillId="2" borderId="15" xfId="0" applyFont="1" applyFill="1" applyBorder="1">
      <alignment vertical="center"/>
    </xf>
    <xf numFmtId="0" fontId="4" fillId="2" borderId="10" xfId="0" applyFont="1" applyFill="1" applyBorder="1">
      <alignment vertical="center"/>
    </xf>
    <xf numFmtId="0" fontId="4" fillId="2" borderId="2" xfId="0" applyFont="1" applyFill="1" applyBorder="1">
      <alignment vertical="center"/>
    </xf>
    <xf numFmtId="0" fontId="4" fillId="2" borderId="5" xfId="0" applyFont="1" applyFill="1" applyBorder="1">
      <alignment vertical="center"/>
    </xf>
    <xf numFmtId="0" fontId="4" fillId="2" borderId="15" xfId="0" applyFont="1" applyFill="1" applyBorder="1" applyAlignment="1">
      <alignment vertical="center" shrinkToFit="1"/>
    </xf>
    <xf numFmtId="0" fontId="4" fillId="2" borderId="10" xfId="0" applyFont="1" applyFill="1" applyBorder="1" applyAlignment="1">
      <alignment vertical="center" shrinkToFit="1"/>
    </xf>
    <xf numFmtId="181" fontId="6" fillId="2" borderId="1" xfId="0" applyNumberFormat="1" applyFont="1" applyFill="1" applyBorder="1" applyAlignment="1">
      <alignment horizontal="distributed" vertical="center"/>
    </xf>
    <xf numFmtId="0" fontId="4" fillId="2" borderId="5" xfId="0" applyFont="1" applyFill="1" applyBorder="1" applyAlignment="1">
      <alignment vertical="center" shrinkToFit="1"/>
    </xf>
    <xf numFmtId="0" fontId="4" fillId="2" borderId="1" xfId="0" applyFont="1" applyFill="1" applyBorder="1" applyAlignment="1">
      <alignment vertical="center" wrapText="1" shrinkToFit="1"/>
    </xf>
    <xf numFmtId="0" fontId="4" fillId="2" borderId="12" xfId="0" applyFont="1" applyFill="1" applyBorder="1" applyAlignment="1">
      <alignment vertical="center" wrapText="1" shrinkToFit="1"/>
    </xf>
    <xf numFmtId="0" fontId="4" fillId="2" borderId="15" xfId="0" applyFont="1" applyFill="1" applyBorder="1" applyAlignment="1">
      <alignment vertical="center" wrapText="1" shrinkToFit="1"/>
    </xf>
    <xf numFmtId="0" fontId="4" fillId="2" borderId="10" xfId="0" applyFont="1" applyFill="1" applyBorder="1" applyAlignment="1">
      <alignment vertical="center" wrapText="1" shrinkToFit="1"/>
    </xf>
    <xf numFmtId="0" fontId="24" fillId="0" borderId="17" xfId="2" applyFont="1" applyBorder="1" applyAlignment="1">
      <alignment vertical="center" shrinkToFit="1"/>
    </xf>
    <xf numFmtId="0" fontId="24" fillId="0" borderId="18" xfId="2" applyFont="1" applyBorder="1" applyAlignment="1">
      <alignment vertical="center" shrinkToFit="1"/>
    </xf>
    <xf numFmtId="0" fontId="17" fillId="0" borderId="0" xfId="2" applyFont="1">
      <alignment vertical="center"/>
    </xf>
    <xf numFmtId="0" fontId="17" fillId="0" borderId="11" xfId="2" applyFont="1" applyBorder="1">
      <alignment vertical="center"/>
    </xf>
    <xf numFmtId="0" fontId="17" fillId="0" borderId="27" xfId="2" applyFont="1" applyBorder="1">
      <alignment vertical="center"/>
    </xf>
    <xf numFmtId="0" fontId="17" fillId="0" borderId="28" xfId="2" applyFont="1" applyBorder="1">
      <alignment vertical="center"/>
    </xf>
    <xf numFmtId="0" fontId="17" fillId="0" borderId="23" xfId="2" applyFont="1" applyBorder="1" applyAlignment="1">
      <alignment horizontal="center" vertical="center"/>
    </xf>
    <xf numFmtId="0" fontId="17" fillId="0" borderId="22" xfId="2" applyFont="1" applyBorder="1" applyAlignment="1">
      <alignment horizontal="center" vertical="center"/>
    </xf>
    <xf numFmtId="0" fontId="17" fillId="0" borderId="4" xfId="2" applyFont="1" applyBorder="1" applyAlignment="1">
      <alignment horizontal="center" vertical="center"/>
    </xf>
    <xf numFmtId="0" fontId="17" fillId="0" borderId="5" xfId="2" applyFont="1" applyBorder="1" applyAlignment="1">
      <alignment horizontal="center" vertical="center"/>
    </xf>
    <xf numFmtId="0" fontId="17" fillId="0" borderId="20" xfId="2" applyFont="1" applyBorder="1" applyAlignment="1">
      <alignment horizontal="center" vertical="center"/>
    </xf>
    <xf numFmtId="0" fontId="17" fillId="0" borderId="21" xfId="2" applyFont="1" applyBorder="1" applyAlignment="1">
      <alignment horizontal="center" vertical="center"/>
    </xf>
    <xf numFmtId="0" fontId="28" fillId="0" borderId="26" xfId="2" applyFont="1" applyBorder="1">
      <alignment vertical="center"/>
    </xf>
    <xf numFmtId="0" fontId="28" fillId="0" borderId="30" xfId="2" applyFont="1" applyBorder="1">
      <alignment vertical="center"/>
    </xf>
    <xf numFmtId="0" fontId="17" fillId="0" borderId="33" xfId="2" applyFont="1" applyBorder="1" applyAlignment="1">
      <alignment horizontal="center" vertical="center"/>
    </xf>
    <xf numFmtId="0" fontId="17" fillId="0" borderId="2" xfId="2" applyFont="1" applyBorder="1" applyAlignment="1">
      <alignment horizontal="center" vertical="center"/>
    </xf>
    <xf numFmtId="178" fontId="17" fillId="0" borderId="29" xfId="2" applyNumberFormat="1" applyFont="1" applyBorder="1" applyAlignment="1">
      <alignment vertical="center" shrinkToFit="1"/>
    </xf>
    <xf numFmtId="178" fontId="17" fillId="0" borderId="28" xfId="2" applyNumberFormat="1" applyFont="1" applyBorder="1" applyAlignment="1">
      <alignment vertical="center" shrinkToFit="1"/>
    </xf>
    <xf numFmtId="178" fontId="17" fillId="0" borderId="9" xfId="2" applyNumberFormat="1" applyFont="1" applyBorder="1" applyAlignment="1">
      <alignment vertical="center" shrinkToFit="1"/>
    </xf>
    <xf numFmtId="178" fontId="17" fillId="0" borderId="11" xfId="2" applyNumberFormat="1" applyFont="1" applyBorder="1" applyAlignment="1">
      <alignment vertical="center" shrinkToFit="1"/>
    </xf>
    <xf numFmtId="178" fontId="17" fillId="0" borderId="25" xfId="2" applyNumberFormat="1" applyFont="1" applyBorder="1" applyAlignment="1">
      <alignment vertical="center" shrinkToFit="1"/>
    </xf>
    <xf numFmtId="178" fontId="17" fillId="0" borderId="30" xfId="2" applyNumberFormat="1" applyFont="1" applyBorder="1" applyAlignment="1">
      <alignment vertical="center" shrinkToFit="1"/>
    </xf>
    <xf numFmtId="178" fontId="21" fillId="0" borderId="29" xfId="3" applyNumberFormat="1" applyFont="1" applyBorder="1" applyAlignment="1">
      <alignment vertical="center" shrinkToFit="1"/>
    </xf>
    <xf numFmtId="178" fontId="21" fillId="0" borderId="28" xfId="3" applyNumberFormat="1" applyFont="1" applyBorder="1" applyAlignment="1">
      <alignment vertical="center" shrinkToFit="1"/>
    </xf>
    <xf numFmtId="178" fontId="21" fillId="0" borderId="9" xfId="3" applyNumberFormat="1" applyFont="1" applyBorder="1" applyAlignment="1">
      <alignment vertical="center" shrinkToFit="1"/>
    </xf>
    <xf numFmtId="178" fontId="21" fillId="0" borderId="11" xfId="3" applyNumberFormat="1" applyFont="1" applyBorder="1" applyAlignment="1">
      <alignment vertical="center" shrinkToFit="1"/>
    </xf>
    <xf numFmtId="178" fontId="17" fillId="0" borderId="25" xfId="3" applyNumberFormat="1" applyFont="1" applyBorder="1" applyAlignment="1">
      <alignment vertical="center"/>
    </xf>
    <xf numFmtId="178" fontId="17" fillId="0" borderId="30" xfId="3" applyNumberFormat="1" applyFont="1" applyBorder="1" applyAlignment="1">
      <alignment vertical="center"/>
    </xf>
    <xf numFmtId="178" fontId="17" fillId="0" borderId="36" xfId="3" applyNumberFormat="1" applyFont="1" applyFill="1" applyBorder="1" applyAlignment="1">
      <alignment vertical="center"/>
    </xf>
    <xf numFmtId="178" fontId="17" fillId="0" borderId="37" xfId="3" applyNumberFormat="1" applyFont="1" applyFill="1" applyBorder="1" applyAlignment="1">
      <alignment vertical="center"/>
    </xf>
    <xf numFmtId="178" fontId="20" fillId="0" borderId="29" xfId="3" applyNumberFormat="1" applyFont="1" applyBorder="1" applyAlignment="1">
      <alignment vertical="center"/>
    </xf>
    <xf numFmtId="178" fontId="20" fillId="0" borderId="28" xfId="3" applyNumberFormat="1" applyFont="1" applyBorder="1" applyAlignment="1">
      <alignment vertical="center"/>
    </xf>
    <xf numFmtId="178" fontId="21" fillId="0" borderId="14" xfId="3" applyNumberFormat="1" applyFont="1" applyBorder="1" applyAlignment="1">
      <alignment vertical="center" shrinkToFit="1"/>
    </xf>
    <xf numFmtId="178" fontId="21" fillId="0" borderId="12" xfId="3" applyNumberFormat="1" applyFont="1" applyBorder="1" applyAlignment="1">
      <alignment vertical="center" shrinkToFit="1"/>
    </xf>
    <xf numFmtId="0" fontId="17" fillId="0" borderId="13" xfId="2" applyFont="1" applyBorder="1" applyAlignment="1">
      <alignment vertical="center" shrinkToFit="1"/>
    </xf>
    <xf numFmtId="0" fontId="17" fillId="0" borderId="10" xfId="2" applyFont="1" applyBorder="1" applyAlignment="1">
      <alignment vertical="center" shrinkToFit="1"/>
    </xf>
    <xf numFmtId="0" fontId="17" fillId="0" borderId="14" xfId="2" applyFont="1" applyBorder="1" applyAlignment="1">
      <alignment vertical="center" shrinkToFit="1"/>
    </xf>
    <xf numFmtId="0" fontId="17" fillId="0" borderId="12" xfId="2" applyFont="1" applyBorder="1" applyAlignment="1">
      <alignment vertical="center" shrinkToFit="1"/>
    </xf>
    <xf numFmtId="38" fontId="17" fillId="0" borderId="29" xfId="2" applyNumberFormat="1" applyFont="1" applyBorder="1" applyAlignment="1">
      <alignment vertical="center" shrinkToFit="1"/>
    </xf>
    <xf numFmtId="38" fontId="17" fillId="0" borderId="28" xfId="2" applyNumberFormat="1" applyFont="1" applyBorder="1" applyAlignment="1">
      <alignment vertical="center" shrinkToFit="1"/>
    </xf>
    <xf numFmtId="0" fontId="17" fillId="0" borderId="25" xfId="2" applyFont="1" applyBorder="1" applyAlignment="1">
      <alignment horizontal="center" vertical="center" shrinkToFit="1"/>
    </xf>
    <xf numFmtId="0" fontId="17" fillId="0" borderId="30" xfId="2" applyFont="1" applyBorder="1" applyAlignment="1">
      <alignment horizontal="center" vertical="center" shrinkToFit="1"/>
    </xf>
    <xf numFmtId="38" fontId="17" fillId="0" borderId="25" xfId="2" applyNumberFormat="1" applyFont="1" applyBorder="1" applyAlignment="1">
      <alignment vertical="center" shrinkToFit="1"/>
    </xf>
    <xf numFmtId="38" fontId="17" fillId="0" borderId="30" xfId="2" applyNumberFormat="1" applyFont="1" applyBorder="1" applyAlignment="1">
      <alignment vertical="center" shrinkToFit="1"/>
    </xf>
    <xf numFmtId="38" fontId="17" fillId="0" borderId="32" xfId="2" applyNumberFormat="1" applyFont="1" applyBorder="1" applyAlignment="1">
      <alignment horizontal="center" vertical="center" shrinkToFit="1"/>
    </xf>
    <xf numFmtId="38" fontId="17" fillId="0" borderId="55" xfId="2" applyNumberFormat="1" applyFont="1" applyBorder="1" applyAlignment="1">
      <alignment horizontal="center" vertical="center" shrinkToFit="1"/>
    </xf>
    <xf numFmtId="0" fontId="6" fillId="2" borderId="9" xfId="0" applyFont="1" applyFill="1" applyBorder="1" applyAlignment="1">
      <alignment vertical="center" shrinkToFit="1"/>
    </xf>
    <xf numFmtId="0" fontId="6" fillId="2" borderId="0" xfId="0" applyFont="1" applyFill="1" applyAlignment="1">
      <alignment vertical="center" shrinkToFit="1"/>
    </xf>
    <xf numFmtId="0" fontId="6" fillId="2" borderId="11" xfId="0" applyFont="1" applyFill="1" applyBorder="1" applyAlignment="1">
      <alignment vertical="center" shrinkToFit="1"/>
    </xf>
    <xf numFmtId="0" fontId="4" fillId="2" borderId="17" xfId="0" applyFont="1" applyFill="1" applyBorder="1" applyAlignment="1">
      <alignment vertical="center" wrapText="1"/>
    </xf>
    <xf numFmtId="0" fontId="4" fillId="2" borderId="18" xfId="0" applyFont="1" applyFill="1" applyBorder="1" applyAlignment="1">
      <alignment vertical="center" wrapText="1"/>
    </xf>
    <xf numFmtId="0" fontId="40" fillId="0" borderId="0" xfId="0" applyFont="1">
      <alignment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pplyProtection="1">
      <alignment horizontal="left" vertical="center" shrinkToFit="1"/>
      <protection locked="0"/>
    </xf>
    <xf numFmtId="0" fontId="35" fillId="0" borderId="0" xfId="1" applyFont="1" applyAlignment="1" applyProtection="1">
      <alignment horizontal="left" vertical="center" shrinkToFit="1"/>
      <protection locked="0"/>
    </xf>
    <xf numFmtId="0" fontId="0" fillId="0" borderId="0" xfId="0" applyAlignment="1">
      <alignment vertical="center" wrapText="1" shrinkToFit="1"/>
    </xf>
    <xf numFmtId="191" fontId="39" fillId="0" borderId="0" xfId="0" applyNumberFormat="1" applyFont="1" applyAlignment="1">
      <alignment horizontal="left" vertical="center"/>
    </xf>
    <xf numFmtId="182" fontId="0" fillId="0" borderId="0" xfId="0" applyNumberFormat="1" applyAlignment="1" applyProtection="1">
      <alignment horizontal="left" vertical="center" shrinkToFit="1"/>
      <protection locked="0"/>
    </xf>
    <xf numFmtId="0" fontId="11" fillId="0" borderId="0" xfId="1" applyAlignment="1" applyProtection="1">
      <alignment horizontal="left" vertical="center" shrinkToFit="1"/>
      <protection locked="0"/>
    </xf>
    <xf numFmtId="177" fontId="0" fillId="0" borderId="0" xfId="0" applyNumberFormat="1" applyAlignment="1" applyProtection="1">
      <alignment horizontal="left" vertical="center" shrinkToFit="1"/>
      <protection locked="0"/>
    </xf>
    <xf numFmtId="20" fontId="0" fillId="0" borderId="0" xfId="0" applyNumberFormat="1" applyAlignment="1" applyProtection="1">
      <alignment horizontal="left" vertical="center" shrinkToFit="1"/>
      <protection locked="0"/>
    </xf>
    <xf numFmtId="0" fontId="0" fillId="0" borderId="0" xfId="0" applyAlignment="1" applyProtection="1">
      <alignment horizontal="left" vertical="center" wrapText="1" shrinkToFit="1"/>
      <protection locked="0"/>
    </xf>
    <xf numFmtId="176" fontId="0" fillId="0" borderId="0" xfId="0" applyNumberFormat="1" applyAlignment="1" applyProtection="1">
      <alignment horizontal="left" vertical="center" shrinkToFit="1"/>
      <protection locked="0"/>
    </xf>
    <xf numFmtId="0" fontId="0" fillId="0" borderId="0" xfId="0" applyProtection="1">
      <alignment vertical="center"/>
      <protection locked="0"/>
    </xf>
    <xf numFmtId="0" fontId="0" fillId="0" borderId="0" xfId="0" applyAlignment="1" applyProtection="1">
      <alignment vertical="center" shrinkToFit="1"/>
      <protection locked="0"/>
    </xf>
    <xf numFmtId="178" fontId="0" fillId="0" borderId="0" xfId="0" applyNumberFormat="1" applyAlignment="1" applyProtection="1">
      <alignment vertical="center" shrinkToFit="1"/>
      <protection locked="0"/>
    </xf>
    <xf numFmtId="0" fontId="0" fillId="5" borderId="0" xfId="0" applyFill="1" applyAlignment="1" applyProtection="1">
      <alignment horizontal="left" vertical="center" shrinkToFit="1"/>
      <protection locked="0"/>
    </xf>
    <xf numFmtId="182" fontId="0" fillId="5" borderId="0" xfId="0" applyNumberFormat="1" applyFill="1" applyAlignment="1" applyProtection="1">
      <alignment horizontal="left" vertical="center" shrinkToFit="1"/>
      <protection locked="0"/>
    </xf>
    <xf numFmtId="187" fontId="0" fillId="0" borderId="0" xfId="0" applyNumberFormat="1" applyAlignment="1" applyProtection="1">
      <alignment horizontal="left" vertical="center" shrinkToFit="1"/>
      <protection locked="0"/>
    </xf>
  </cellXfs>
  <cellStyles count="4">
    <cellStyle name="ハイパーリンク" xfId="1" builtinId="8"/>
    <cellStyle name="桁区切り 2" xfId="3" xr:uid="{00000000-0005-0000-0000-000001000000}"/>
    <cellStyle name="標準" xfId="0" builtinId="0"/>
    <cellStyle name="標準 2" xfId="2" xr:uid="{00000000-0005-0000-0000-000003000000}"/>
  </cellStyles>
  <dxfs count="8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numFmt numFmtId="3" formatCode="#,##0"/>
    </dxf>
    <dxf>
      <numFmt numFmtId="3" formatCode="#,##0"/>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97042</xdr:colOff>
      <xdr:row>141</xdr:row>
      <xdr:rowOff>250339</xdr:rowOff>
    </xdr:from>
    <xdr:to>
      <xdr:col>1</xdr:col>
      <xdr:colOff>3998733</xdr:colOff>
      <xdr:row>141</xdr:row>
      <xdr:rowOff>1807957</xdr:rowOff>
    </xdr:to>
    <xdr:pic>
      <xdr:nvPicPr>
        <xdr:cNvPr id="6" name="図 5">
          <a:extLst>
            <a:ext uri="{FF2B5EF4-FFF2-40B4-BE49-F238E27FC236}">
              <a16:creationId xmlns:a16="http://schemas.microsoft.com/office/drawing/2014/main" id="{82F8E856-D7AE-4A45-BB21-FDBD17C7DD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42" y="30752751"/>
          <a:ext cx="7711691" cy="1553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297180</xdr:colOff>
      <xdr:row>0</xdr:row>
      <xdr:rowOff>45720</xdr:rowOff>
    </xdr:from>
    <xdr:to>
      <xdr:col>8</xdr:col>
      <xdr:colOff>106680</xdr:colOff>
      <xdr:row>3</xdr:row>
      <xdr:rowOff>106680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3322320" y="45720"/>
          <a:ext cx="571500" cy="56388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twoCellAnchor editAs="oneCell">
    <xdr:from>
      <xdr:col>11</xdr:col>
      <xdr:colOff>312420</xdr:colOff>
      <xdr:row>0</xdr:row>
      <xdr:rowOff>76200</xdr:rowOff>
    </xdr:from>
    <xdr:to>
      <xdr:col>14</xdr:col>
      <xdr:colOff>97155</xdr:colOff>
      <xdr:row>4</xdr:row>
      <xdr:rowOff>91440</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0" y="76200"/>
          <a:ext cx="209550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297180</xdr:colOff>
      <xdr:row>52</xdr:row>
      <xdr:rowOff>22860</xdr:rowOff>
    </xdr:from>
    <xdr:to>
      <xdr:col>8</xdr:col>
      <xdr:colOff>106680</xdr:colOff>
      <xdr:row>53</xdr:row>
      <xdr:rowOff>274320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3322320" y="10294620"/>
          <a:ext cx="571500" cy="56388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twoCellAnchor editAs="oneCell">
    <xdr:from>
      <xdr:col>1</xdr:col>
      <xdr:colOff>57150</xdr:colOff>
      <xdr:row>77</xdr:row>
      <xdr:rowOff>15240</xdr:rowOff>
    </xdr:from>
    <xdr:to>
      <xdr:col>14</xdr:col>
      <xdr:colOff>129540</xdr:colOff>
      <xdr:row>85</xdr:row>
      <xdr:rowOff>17735</xdr:rowOff>
    </xdr:to>
    <xdr:pic>
      <xdr:nvPicPr>
        <xdr:cNvPr id="3" name="図 2">
          <a:extLst>
            <a:ext uri="{FF2B5EF4-FFF2-40B4-BE49-F238E27FC236}">
              <a16:creationId xmlns:a16="http://schemas.microsoft.com/office/drawing/2014/main" id="{04E2B741-E25F-490C-A575-0CDE1DDC2D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17322165"/>
          <a:ext cx="6800850" cy="1370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1</xdr:row>
      <xdr:rowOff>60960</xdr:rowOff>
    </xdr:from>
    <xdr:to>
      <xdr:col>10</xdr:col>
      <xdr:colOff>625475</xdr:colOff>
      <xdr:row>2</xdr:row>
      <xdr:rowOff>160020</xdr:rowOff>
    </xdr:to>
    <xdr:sp macro="" textlink="">
      <xdr:nvSpPr>
        <xdr:cNvPr id="9" name="AutoShape 15">
          <a:extLst>
            <a:ext uri="{FF2B5EF4-FFF2-40B4-BE49-F238E27FC236}">
              <a16:creationId xmlns:a16="http://schemas.microsoft.com/office/drawing/2014/main" id="{00000000-0008-0000-0200-000009000000}"/>
            </a:ext>
          </a:extLst>
        </xdr:cNvPr>
        <xdr:cNvSpPr>
          <a:spLocks noChangeArrowheads="1"/>
        </xdr:cNvSpPr>
      </xdr:nvSpPr>
      <xdr:spPr bwMode="auto">
        <a:xfrm>
          <a:off x="5417820" y="228600"/>
          <a:ext cx="1166495" cy="266700"/>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pPr algn="ctr">
            <a:spcAft>
              <a:spcPts val="0"/>
            </a:spcAft>
          </a:pPr>
          <a:r>
            <a:rPr lang="ja-JP" sz="1400" kern="100">
              <a:effectLst/>
              <a:latin typeface="Century" panose="02040604050505020304" pitchFamily="18" charset="0"/>
              <a:ea typeface="ＭＳ ゴシック" panose="020B0609070205080204" pitchFamily="49" charset="-128"/>
              <a:cs typeface="Times New Roman" panose="02020603050405020304" pitchFamily="18" charset="0"/>
            </a:rPr>
            <a:t>Ｃ・Ｄ区分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0</xdr:colOff>
      <xdr:row>0</xdr:row>
      <xdr:rowOff>121920</xdr:rowOff>
    </xdr:from>
    <xdr:to>
      <xdr:col>1</xdr:col>
      <xdr:colOff>78105</xdr:colOff>
      <xdr:row>3</xdr:row>
      <xdr:rowOff>36195</xdr:rowOff>
    </xdr:to>
    <xdr:sp macro="" textlink="">
      <xdr:nvSpPr>
        <xdr:cNvPr id="10" name="楕円 9">
          <a:extLst>
            <a:ext uri="{FF2B5EF4-FFF2-40B4-BE49-F238E27FC236}">
              <a16:creationId xmlns:a16="http://schemas.microsoft.com/office/drawing/2014/main" id="{00000000-0008-0000-0200-00000A000000}"/>
            </a:ext>
          </a:extLst>
        </xdr:cNvPr>
        <xdr:cNvSpPr>
          <a:spLocks noChangeArrowheads="1"/>
        </xdr:cNvSpPr>
      </xdr:nvSpPr>
      <xdr:spPr bwMode="auto">
        <a:xfrm>
          <a:off x="630555" y="775335"/>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510540</xdr:colOff>
      <xdr:row>0</xdr:row>
      <xdr:rowOff>114300</xdr:rowOff>
    </xdr:from>
    <xdr:to>
      <xdr:col>1</xdr:col>
      <xdr:colOff>937260</xdr:colOff>
      <xdr:row>3</xdr:row>
      <xdr:rowOff>30480</xdr:rowOff>
    </xdr:to>
    <xdr:sp macro="" textlink="">
      <xdr:nvSpPr>
        <xdr:cNvPr id="2061" name="楕円 22">
          <a:extLst>
            <a:ext uri="{FF2B5EF4-FFF2-40B4-BE49-F238E27FC236}">
              <a16:creationId xmlns:a16="http://schemas.microsoft.com/office/drawing/2014/main" id="{00000000-0008-0000-0200-00000D080000}"/>
            </a:ext>
          </a:extLst>
        </xdr:cNvPr>
        <xdr:cNvSpPr>
          <a:spLocks noChangeArrowheads="1"/>
        </xdr:cNvSpPr>
      </xdr:nvSpPr>
      <xdr:spPr bwMode="auto">
        <a:xfrm>
          <a:off x="861060" y="114300"/>
          <a:ext cx="426720" cy="419100"/>
        </a:xfrm>
        <a:prstGeom prst="ellipse">
          <a:avLst/>
        </a:prstGeom>
        <a:solidFill>
          <a:srgbClr val="FFFFFF"/>
        </a:solidFill>
        <a:ln w="9525" cap="rnd">
          <a:solidFill>
            <a:srgbClr val="000000"/>
          </a:solidFill>
          <a:prstDash val="sysDot"/>
          <a:round/>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Century"/>
            </a:rPr>
            <a:t> </a:t>
          </a:r>
        </a:p>
      </xdr:txBody>
    </xdr:sp>
    <xdr:clientData/>
  </xdr:twoCellAnchor>
  <xdr:twoCellAnchor>
    <xdr:from>
      <xdr:col>1</xdr:col>
      <xdr:colOff>76200</xdr:colOff>
      <xdr:row>0</xdr:row>
      <xdr:rowOff>114300</xdr:rowOff>
    </xdr:from>
    <xdr:to>
      <xdr:col>1</xdr:col>
      <xdr:colOff>504825</xdr:colOff>
      <xdr:row>3</xdr:row>
      <xdr:rowOff>28575</xdr:rowOff>
    </xdr:to>
    <xdr:sp macro="" textlink="">
      <xdr:nvSpPr>
        <xdr:cNvPr id="12" name="楕円 11">
          <a:extLst>
            <a:ext uri="{FF2B5EF4-FFF2-40B4-BE49-F238E27FC236}">
              <a16:creationId xmlns:a16="http://schemas.microsoft.com/office/drawing/2014/main" id="{00000000-0008-0000-0200-00000C000000}"/>
            </a:ext>
          </a:extLst>
        </xdr:cNvPr>
        <xdr:cNvSpPr>
          <a:spLocks noChangeArrowheads="1"/>
        </xdr:cNvSpPr>
      </xdr:nvSpPr>
      <xdr:spPr bwMode="auto">
        <a:xfrm>
          <a:off x="1059180" y="77343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937260</xdr:colOff>
      <xdr:row>0</xdr:row>
      <xdr:rowOff>121920</xdr:rowOff>
    </xdr:from>
    <xdr:to>
      <xdr:col>2</xdr:col>
      <xdr:colOff>24765</xdr:colOff>
      <xdr:row>3</xdr:row>
      <xdr:rowOff>36195</xdr:rowOff>
    </xdr:to>
    <xdr:sp macro="" textlink="">
      <xdr:nvSpPr>
        <xdr:cNvPr id="13" name="楕円 12">
          <a:extLst>
            <a:ext uri="{FF2B5EF4-FFF2-40B4-BE49-F238E27FC236}">
              <a16:creationId xmlns:a16="http://schemas.microsoft.com/office/drawing/2014/main" id="{00000000-0008-0000-0200-00000D000000}"/>
            </a:ext>
          </a:extLst>
        </xdr:cNvPr>
        <xdr:cNvSpPr>
          <a:spLocks noChangeArrowheads="1"/>
        </xdr:cNvSpPr>
      </xdr:nvSpPr>
      <xdr:spPr bwMode="auto">
        <a:xfrm>
          <a:off x="1918335" y="776605"/>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22860</xdr:colOff>
      <xdr:row>0</xdr:row>
      <xdr:rowOff>121920</xdr:rowOff>
    </xdr:from>
    <xdr:to>
      <xdr:col>2</xdr:col>
      <xdr:colOff>451485</xdr:colOff>
      <xdr:row>3</xdr:row>
      <xdr:rowOff>36195</xdr:rowOff>
    </xdr:to>
    <xdr:sp macro="" textlink="">
      <xdr:nvSpPr>
        <xdr:cNvPr id="14" name="楕円 13">
          <a:extLst>
            <a:ext uri="{FF2B5EF4-FFF2-40B4-BE49-F238E27FC236}">
              <a16:creationId xmlns:a16="http://schemas.microsoft.com/office/drawing/2014/main" id="{00000000-0008-0000-0200-00000E000000}"/>
            </a:ext>
          </a:extLst>
        </xdr:cNvPr>
        <xdr:cNvSpPr>
          <a:spLocks noChangeArrowheads="1"/>
        </xdr:cNvSpPr>
      </xdr:nvSpPr>
      <xdr:spPr bwMode="auto">
        <a:xfrm>
          <a:off x="2347595" y="776605"/>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457200</xdr:colOff>
      <xdr:row>0</xdr:row>
      <xdr:rowOff>114300</xdr:rowOff>
    </xdr:from>
    <xdr:to>
      <xdr:col>3</xdr:col>
      <xdr:colOff>299085</xdr:colOff>
      <xdr:row>3</xdr:row>
      <xdr:rowOff>28575</xdr:rowOff>
    </xdr:to>
    <xdr:sp macro="" textlink="">
      <xdr:nvSpPr>
        <xdr:cNvPr id="15" name="楕円 14">
          <a:extLst>
            <a:ext uri="{FF2B5EF4-FFF2-40B4-BE49-F238E27FC236}">
              <a16:creationId xmlns:a16="http://schemas.microsoft.com/office/drawing/2014/main" id="{00000000-0008-0000-0200-00000F000000}"/>
            </a:ext>
          </a:extLst>
        </xdr:cNvPr>
        <xdr:cNvSpPr>
          <a:spLocks noChangeArrowheads="1"/>
        </xdr:cNvSpPr>
      </xdr:nvSpPr>
      <xdr:spPr bwMode="auto">
        <a:xfrm>
          <a:off x="2776855" y="774065"/>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297179</xdr:colOff>
      <xdr:row>0</xdr:row>
      <xdr:rowOff>114300</xdr:rowOff>
    </xdr:from>
    <xdr:to>
      <xdr:col>4</xdr:col>
      <xdr:colOff>62639</xdr:colOff>
      <xdr:row>3</xdr:row>
      <xdr:rowOff>28575</xdr:rowOff>
    </xdr:to>
    <xdr:sp macro="" textlink="">
      <xdr:nvSpPr>
        <xdr:cNvPr id="16" name="楕円 15">
          <a:extLst>
            <a:ext uri="{FF2B5EF4-FFF2-40B4-BE49-F238E27FC236}">
              <a16:creationId xmlns:a16="http://schemas.microsoft.com/office/drawing/2014/main" id="{00000000-0008-0000-0200-000010000000}"/>
            </a:ext>
          </a:extLst>
        </xdr:cNvPr>
        <xdr:cNvSpPr>
          <a:spLocks noChangeArrowheads="1"/>
        </xdr:cNvSpPr>
      </xdr:nvSpPr>
      <xdr:spPr bwMode="auto">
        <a:xfrm>
          <a:off x="2575559" y="114300"/>
          <a:ext cx="428400"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1876425</xdr:colOff>
      <xdr:row>0</xdr:row>
      <xdr:rowOff>93345</xdr:rowOff>
    </xdr:from>
    <xdr:to>
      <xdr:col>6</xdr:col>
      <xdr:colOff>2524125</xdr:colOff>
      <xdr:row>3</xdr:row>
      <xdr:rowOff>112395</xdr:rowOff>
    </xdr:to>
    <xdr:sp macro="" textlink="">
      <xdr:nvSpPr>
        <xdr:cNvPr id="2" name="Oval 1">
          <a:extLst>
            <a:ext uri="{FF2B5EF4-FFF2-40B4-BE49-F238E27FC236}">
              <a16:creationId xmlns:a16="http://schemas.microsoft.com/office/drawing/2014/main" id="{00000000-0008-0000-0000-000003000000}"/>
            </a:ext>
          </a:extLst>
        </xdr:cNvPr>
        <xdr:cNvSpPr>
          <a:spLocks noChangeArrowheads="1"/>
        </xdr:cNvSpPr>
      </xdr:nvSpPr>
      <xdr:spPr bwMode="auto">
        <a:xfrm>
          <a:off x="3232785" y="93345"/>
          <a:ext cx="647700" cy="643890"/>
        </a:xfrm>
        <a:prstGeom prst="ellipse">
          <a:avLst/>
        </a:prstGeom>
        <a:solidFill>
          <a:srgbClr val="FFFFFF"/>
        </a:solidFill>
        <a:ln w="9525" cap="rnd" algn="ctr">
          <a:solidFill>
            <a:srgbClr val="00000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481852</xdr:colOff>
      <xdr:row>1</xdr:row>
      <xdr:rowOff>112059</xdr:rowOff>
    </xdr:from>
    <xdr:to>
      <xdr:col>9</xdr:col>
      <xdr:colOff>773204</xdr:colOff>
      <xdr:row>1</xdr:row>
      <xdr:rowOff>896471</xdr:rowOff>
    </xdr:to>
    <xdr:sp macro="" textlink="">
      <xdr:nvSpPr>
        <xdr:cNvPr id="2" name="Oval 1">
          <a:extLst>
            <a:ext uri="{FF2B5EF4-FFF2-40B4-BE49-F238E27FC236}">
              <a16:creationId xmlns:a16="http://schemas.microsoft.com/office/drawing/2014/main" id="{00000000-0008-0000-0000-000004000000}"/>
            </a:ext>
          </a:extLst>
        </xdr:cNvPr>
        <xdr:cNvSpPr>
          <a:spLocks noChangeArrowheads="1"/>
        </xdr:cNvSpPr>
      </xdr:nvSpPr>
      <xdr:spPr bwMode="auto">
        <a:xfrm>
          <a:off x="4390912" y="188259"/>
          <a:ext cx="733312" cy="784412"/>
        </a:xfrm>
        <a:prstGeom prst="ellipse">
          <a:avLst/>
        </a:prstGeom>
        <a:solidFill>
          <a:srgbClr val="FFFFFF"/>
        </a:solidFill>
        <a:ln w="9525" cap="rnd" algn="ctr">
          <a:solidFill>
            <a:srgbClr val="00000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251460</xdr:colOff>
      <xdr:row>0</xdr:row>
      <xdr:rowOff>22860</xdr:rowOff>
    </xdr:from>
    <xdr:to>
      <xdr:col>7</xdr:col>
      <xdr:colOff>274320</xdr:colOff>
      <xdr:row>3</xdr:row>
      <xdr:rowOff>99060</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3169920" y="22860"/>
          <a:ext cx="640080" cy="57912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1</xdr:row>
      <xdr:rowOff>68580</xdr:rowOff>
    </xdr:from>
    <xdr:to>
      <xdr:col>7</xdr:col>
      <xdr:colOff>513522</xdr:colOff>
      <xdr:row>3</xdr:row>
      <xdr:rowOff>0</xdr:rowOff>
    </xdr:to>
    <xdr:sp macro="" textlink="">
      <xdr:nvSpPr>
        <xdr:cNvPr id="2" name="Oval 1">
          <a:extLst>
            <a:ext uri="{FF2B5EF4-FFF2-40B4-BE49-F238E27FC236}">
              <a16:creationId xmlns:a16="http://schemas.microsoft.com/office/drawing/2014/main" id="{C99EBC63-C2FC-4FD4-8905-00EFCB5A76B9}"/>
            </a:ext>
          </a:extLst>
        </xdr:cNvPr>
        <xdr:cNvSpPr>
          <a:spLocks noChangeArrowheads="1"/>
        </xdr:cNvSpPr>
      </xdr:nvSpPr>
      <xdr:spPr bwMode="auto">
        <a:xfrm>
          <a:off x="3406140" y="144780"/>
          <a:ext cx="513522" cy="44958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428625</xdr:colOff>
      <xdr:row>2</xdr:row>
      <xdr:rowOff>188595</xdr:rowOff>
    </xdr:to>
    <xdr:sp macro="" textlink="">
      <xdr:nvSpPr>
        <xdr:cNvPr id="10" name="楕円 9">
          <a:extLst>
            <a:ext uri="{FF2B5EF4-FFF2-40B4-BE49-F238E27FC236}">
              <a16:creationId xmlns:a16="http://schemas.microsoft.com/office/drawing/2014/main" id="{00000000-0008-0000-0A00-00000A000000}"/>
            </a:ext>
          </a:extLst>
        </xdr:cNvPr>
        <xdr:cNvSpPr>
          <a:spLocks noChangeArrowheads="1"/>
        </xdr:cNvSpPr>
      </xdr:nvSpPr>
      <xdr:spPr bwMode="auto">
        <a:xfrm>
          <a:off x="67056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0</xdr:colOff>
      <xdr:row>1</xdr:row>
      <xdr:rowOff>0</xdr:rowOff>
    </xdr:from>
    <xdr:to>
      <xdr:col>2</xdr:col>
      <xdr:colOff>428625</xdr:colOff>
      <xdr:row>2</xdr:row>
      <xdr:rowOff>188595</xdr:rowOff>
    </xdr:to>
    <xdr:sp macro="" textlink="">
      <xdr:nvSpPr>
        <xdr:cNvPr id="11" name="楕円 10">
          <a:extLst>
            <a:ext uri="{FF2B5EF4-FFF2-40B4-BE49-F238E27FC236}">
              <a16:creationId xmlns:a16="http://schemas.microsoft.com/office/drawing/2014/main" id="{00000000-0008-0000-0A00-00000B000000}"/>
            </a:ext>
          </a:extLst>
        </xdr:cNvPr>
        <xdr:cNvSpPr>
          <a:spLocks noChangeArrowheads="1"/>
        </xdr:cNvSpPr>
      </xdr:nvSpPr>
      <xdr:spPr bwMode="auto">
        <a:xfrm>
          <a:off x="134112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0</xdr:colOff>
      <xdr:row>1</xdr:row>
      <xdr:rowOff>0</xdr:rowOff>
    </xdr:from>
    <xdr:to>
      <xdr:col>3</xdr:col>
      <xdr:colOff>428625</xdr:colOff>
      <xdr:row>2</xdr:row>
      <xdr:rowOff>188595</xdr:rowOff>
    </xdr:to>
    <xdr:sp macro="" textlink="">
      <xdr:nvSpPr>
        <xdr:cNvPr id="12" name="楕円 11">
          <a:extLst>
            <a:ext uri="{FF2B5EF4-FFF2-40B4-BE49-F238E27FC236}">
              <a16:creationId xmlns:a16="http://schemas.microsoft.com/office/drawing/2014/main" id="{00000000-0008-0000-0A00-00000C000000}"/>
            </a:ext>
          </a:extLst>
        </xdr:cNvPr>
        <xdr:cNvSpPr>
          <a:spLocks noChangeArrowheads="1"/>
        </xdr:cNvSpPr>
      </xdr:nvSpPr>
      <xdr:spPr bwMode="auto">
        <a:xfrm>
          <a:off x="201168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0</xdr:colOff>
      <xdr:row>1</xdr:row>
      <xdr:rowOff>0</xdr:rowOff>
    </xdr:from>
    <xdr:to>
      <xdr:col>4</xdr:col>
      <xdr:colOff>428625</xdr:colOff>
      <xdr:row>2</xdr:row>
      <xdr:rowOff>188595</xdr:rowOff>
    </xdr:to>
    <xdr:sp macro="" textlink="">
      <xdr:nvSpPr>
        <xdr:cNvPr id="13" name="楕円 12">
          <a:extLst>
            <a:ext uri="{FF2B5EF4-FFF2-40B4-BE49-F238E27FC236}">
              <a16:creationId xmlns:a16="http://schemas.microsoft.com/office/drawing/2014/main" id="{00000000-0008-0000-0A00-00000D000000}"/>
            </a:ext>
          </a:extLst>
        </xdr:cNvPr>
        <xdr:cNvSpPr>
          <a:spLocks noChangeArrowheads="1"/>
        </xdr:cNvSpPr>
      </xdr:nvSpPr>
      <xdr:spPr bwMode="auto">
        <a:xfrm>
          <a:off x="268224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5</xdr:col>
      <xdr:colOff>0</xdr:colOff>
      <xdr:row>1</xdr:row>
      <xdr:rowOff>0</xdr:rowOff>
    </xdr:from>
    <xdr:to>
      <xdr:col>5</xdr:col>
      <xdr:colOff>428625</xdr:colOff>
      <xdr:row>2</xdr:row>
      <xdr:rowOff>188595</xdr:rowOff>
    </xdr:to>
    <xdr:sp macro="" textlink="">
      <xdr:nvSpPr>
        <xdr:cNvPr id="14" name="楕円 13">
          <a:extLst>
            <a:ext uri="{FF2B5EF4-FFF2-40B4-BE49-F238E27FC236}">
              <a16:creationId xmlns:a16="http://schemas.microsoft.com/office/drawing/2014/main" id="{00000000-0008-0000-0A00-00000E000000}"/>
            </a:ext>
          </a:extLst>
        </xdr:cNvPr>
        <xdr:cNvSpPr>
          <a:spLocks noChangeArrowheads="1"/>
        </xdr:cNvSpPr>
      </xdr:nvSpPr>
      <xdr:spPr bwMode="auto">
        <a:xfrm>
          <a:off x="335280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6</xdr:col>
      <xdr:colOff>0</xdr:colOff>
      <xdr:row>1</xdr:row>
      <xdr:rowOff>0</xdr:rowOff>
    </xdr:from>
    <xdr:to>
      <xdr:col>6</xdr:col>
      <xdr:colOff>428625</xdr:colOff>
      <xdr:row>2</xdr:row>
      <xdr:rowOff>188595</xdr:rowOff>
    </xdr:to>
    <xdr:sp macro="" textlink="">
      <xdr:nvSpPr>
        <xdr:cNvPr id="15" name="楕円 14">
          <a:extLst>
            <a:ext uri="{FF2B5EF4-FFF2-40B4-BE49-F238E27FC236}">
              <a16:creationId xmlns:a16="http://schemas.microsoft.com/office/drawing/2014/main" id="{00000000-0008-0000-0A00-00000F000000}"/>
            </a:ext>
          </a:extLst>
        </xdr:cNvPr>
        <xdr:cNvSpPr>
          <a:spLocks noChangeArrowheads="1"/>
        </xdr:cNvSpPr>
      </xdr:nvSpPr>
      <xdr:spPr bwMode="auto">
        <a:xfrm>
          <a:off x="402336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7</xdr:col>
      <xdr:colOff>0</xdr:colOff>
      <xdr:row>1</xdr:row>
      <xdr:rowOff>0</xdr:rowOff>
    </xdr:from>
    <xdr:to>
      <xdr:col>7</xdr:col>
      <xdr:colOff>428625</xdr:colOff>
      <xdr:row>2</xdr:row>
      <xdr:rowOff>188595</xdr:rowOff>
    </xdr:to>
    <xdr:sp macro="" textlink="">
      <xdr:nvSpPr>
        <xdr:cNvPr id="16" name="楕円 15">
          <a:extLst>
            <a:ext uri="{FF2B5EF4-FFF2-40B4-BE49-F238E27FC236}">
              <a16:creationId xmlns:a16="http://schemas.microsoft.com/office/drawing/2014/main" id="{00000000-0008-0000-0A00-000010000000}"/>
            </a:ext>
          </a:extLst>
        </xdr:cNvPr>
        <xdr:cNvSpPr>
          <a:spLocks noChangeArrowheads="1"/>
        </xdr:cNvSpPr>
      </xdr:nvSpPr>
      <xdr:spPr bwMode="auto">
        <a:xfrm>
          <a:off x="469392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8</xdr:col>
      <xdr:colOff>0</xdr:colOff>
      <xdr:row>1</xdr:row>
      <xdr:rowOff>0</xdr:rowOff>
    </xdr:from>
    <xdr:to>
      <xdr:col>8</xdr:col>
      <xdr:colOff>428625</xdr:colOff>
      <xdr:row>2</xdr:row>
      <xdr:rowOff>188595</xdr:rowOff>
    </xdr:to>
    <xdr:sp macro="" textlink="">
      <xdr:nvSpPr>
        <xdr:cNvPr id="17" name="楕円 16">
          <a:extLst>
            <a:ext uri="{FF2B5EF4-FFF2-40B4-BE49-F238E27FC236}">
              <a16:creationId xmlns:a16="http://schemas.microsoft.com/office/drawing/2014/main" id="{00000000-0008-0000-0A00-000011000000}"/>
            </a:ext>
          </a:extLst>
        </xdr:cNvPr>
        <xdr:cNvSpPr>
          <a:spLocks noChangeArrowheads="1"/>
        </xdr:cNvSpPr>
      </xdr:nvSpPr>
      <xdr:spPr bwMode="auto">
        <a:xfrm>
          <a:off x="536448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9</xdr:col>
      <xdr:colOff>0</xdr:colOff>
      <xdr:row>1</xdr:row>
      <xdr:rowOff>0</xdr:rowOff>
    </xdr:from>
    <xdr:to>
      <xdr:col>9</xdr:col>
      <xdr:colOff>428625</xdr:colOff>
      <xdr:row>2</xdr:row>
      <xdr:rowOff>188595</xdr:rowOff>
    </xdr:to>
    <xdr:sp macro="" textlink="">
      <xdr:nvSpPr>
        <xdr:cNvPr id="18" name="楕円 17">
          <a:extLst>
            <a:ext uri="{FF2B5EF4-FFF2-40B4-BE49-F238E27FC236}">
              <a16:creationId xmlns:a16="http://schemas.microsoft.com/office/drawing/2014/main" id="{00000000-0008-0000-0A00-000012000000}"/>
            </a:ext>
          </a:extLst>
        </xdr:cNvPr>
        <xdr:cNvSpPr>
          <a:spLocks noChangeArrowheads="1"/>
        </xdr:cNvSpPr>
      </xdr:nvSpPr>
      <xdr:spPr bwMode="auto">
        <a:xfrm>
          <a:off x="603504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10</xdr:col>
      <xdr:colOff>0</xdr:colOff>
      <xdr:row>1</xdr:row>
      <xdr:rowOff>0</xdr:rowOff>
    </xdr:from>
    <xdr:to>
      <xdr:col>10</xdr:col>
      <xdr:colOff>428625</xdr:colOff>
      <xdr:row>2</xdr:row>
      <xdr:rowOff>188595</xdr:rowOff>
    </xdr:to>
    <xdr:sp macro="" textlink="">
      <xdr:nvSpPr>
        <xdr:cNvPr id="19" name="楕円 18">
          <a:extLst>
            <a:ext uri="{FF2B5EF4-FFF2-40B4-BE49-F238E27FC236}">
              <a16:creationId xmlns:a16="http://schemas.microsoft.com/office/drawing/2014/main" id="{00000000-0008-0000-0A00-000013000000}"/>
            </a:ext>
          </a:extLst>
        </xdr:cNvPr>
        <xdr:cNvSpPr>
          <a:spLocks noChangeArrowheads="1"/>
        </xdr:cNvSpPr>
      </xdr:nvSpPr>
      <xdr:spPr bwMode="auto">
        <a:xfrm>
          <a:off x="670560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11</xdr:col>
      <xdr:colOff>0</xdr:colOff>
      <xdr:row>1</xdr:row>
      <xdr:rowOff>0</xdr:rowOff>
    </xdr:from>
    <xdr:to>
      <xdr:col>11</xdr:col>
      <xdr:colOff>428625</xdr:colOff>
      <xdr:row>2</xdr:row>
      <xdr:rowOff>188595</xdr:rowOff>
    </xdr:to>
    <xdr:sp macro="" textlink="">
      <xdr:nvSpPr>
        <xdr:cNvPr id="20" name="楕円 19">
          <a:extLst>
            <a:ext uri="{FF2B5EF4-FFF2-40B4-BE49-F238E27FC236}">
              <a16:creationId xmlns:a16="http://schemas.microsoft.com/office/drawing/2014/main" id="{00000000-0008-0000-0A00-000014000000}"/>
            </a:ext>
          </a:extLst>
        </xdr:cNvPr>
        <xdr:cNvSpPr>
          <a:spLocks noChangeArrowheads="1"/>
        </xdr:cNvSpPr>
      </xdr:nvSpPr>
      <xdr:spPr bwMode="auto">
        <a:xfrm>
          <a:off x="5003800" y="1778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428625</xdr:colOff>
      <xdr:row>2</xdr:row>
      <xdr:rowOff>188595</xdr:rowOff>
    </xdr:to>
    <xdr:sp macro="" textlink="">
      <xdr:nvSpPr>
        <xdr:cNvPr id="2" name="楕円 1">
          <a:extLst>
            <a:ext uri="{FF2B5EF4-FFF2-40B4-BE49-F238E27FC236}">
              <a16:creationId xmlns:a16="http://schemas.microsoft.com/office/drawing/2014/main" id="{00000000-0008-0000-0B00-000002000000}"/>
            </a:ext>
          </a:extLst>
        </xdr:cNvPr>
        <xdr:cNvSpPr>
          <a:spLocks noChangeArrowheads="1"/>
        </xdr:cNvSpPr>
      </xdr:nvSpPr>
      <xdr:spPr bwMode="auto">
        <a:xfrm>
          <a:off x="16764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0</xdr:colOff>
      <xdr:row>1</xdr:row>
      <xdr:rowOff>0</xdr:rowOff>
    </xdr:from>
    <xdr:to>
      <xdr:col>2</xdr:col>
      <xdr:colOff>428625</xdr:colOff>
      <xdr:row>2</xdr:row>
      <xdr:rowOff>188595</xdr:rowOff>
    </xdr:to>
    <xdr:sp macro="" textlink="">
      <xdr:nvSpPr>
        <xdr:cNvPr id="3" name="楕円 2">
          <a:extLst>
            <a:ext uri="{FF2B5EF4-FFF2-40B4-BE49-F238E27FC236}">
              <a16:creationId xmlns:a16="http://schemas.microsoft.com/office/drawing/2014/main" id="{00000000-0008-0000-0B00-000003000000}"/>
            </a:ext>
          </a:extLst>
        </xdr:cNvPr>
        <xdr:cNvSpPr>
          <a:spLocks noChangeArrowheads="1"/>
        </xdr:cNvSpPr>
      </xdr:nvSpPr>
      <xdr:spPr bwMode="auto">
        <a:xfrm>
          <a:off x="64770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0</xdr:colOff>
      <xdr:row>1</xdr:row>
      <xdr:rowOff>0</xdr:rowOff>
    </xdr:from>
    <xdr:to>
      <xdr:col>3</xdr:col>
      <xdr:colOff>428625</xdr:colOff>
      <xdr:row>2</xdr:row>
      <xdr:rowOff>188595</xdr:rowOff>
    </xdr:to>
    <xdr:sp macro="" textlink="">
      <xdr:nvSpPr>
        <xdr:cNvPr id="4" name="楕円 3">
          <a:extLst>
            <a:ext uri="{FF2B5EF4-FFF2-40B4-BE49-F238E27FC236}">
              <a16:creationId xmlns:a16="http://schemas.microsoft.com/office/drawing/2014/main" id="{00000000-0008-0000-0B00-000004000000}"/>
            </a:ext>
          </a:extLst>
        </xdr:cNvPr>
        <xdr:cNvSpPr>
          <a:spLocks noChangeArrowheads="1"/>
        </xdr:cNvSpPr>
      </xdr:nvSpPr>
      <xdr:spPr bwMode="auto">
        <a:xfrm>
          <a:off x="11277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0</xdr:colOff>
      <xdr:row>1</xdr:row>
      <xdr:rowOff>0</xdr:rowOff>
    </xdr:from>
    <xdr:to>
      <xdr:col>4</xdr:col>
      <xdr:colOff>428625</xdr:colOff>
      <xdr:row>2</xdr:row>
      <xdr:rowOff>188595</xdr:rowOff>
    </xdr:to>
    <xdr:sp macro="" textlink="">
      <xdr:nvSpPr>
        <xdr:cNvPr id="5" name="楕円 4">
          <a:extLst>
            <a:ext uri="{FF2B5EF4-FFF2-40B4-BE49-F238E27FC236}">
              <a16:creationId xmlns:a16="http://schemas.microsoft.com/office/drawing/2014/main" id="{00000000-0008-0000-0B00-000005000000}"/>
            </a:ext>
          </a:extLst>
        </xdr:cNvPr>
        <xdr:cNvSpPr>
          <a:spLocks noChangeArrowheads="1"/>
        </xdr:cNvSpPr>
      </xdr:nvSpPr>
      <xdr:spPr bwMode="auto">
        <a:xfrm>
          <a:off x="160782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5</xdr:col>
      <xdr:colOff>0</xdr:colOff>
      <xdr:row>1</xdr:row>
      <xdr:rowOff>0</xdr:rowOff>
    </xdr:from>
    <xdr:to>
      <xdr:col>5</xdr:col>
      <xdr:colOff>428625</xdr:colOff>
      <xdr:row>2</xdr:row>
      <xdr:rowOff>188595</xdr:rowOff>
    </xdr:to>
    <xdr:sp macro="" textlink="">
      <xdr:nvSpPr>
        <xdr:cNvPr id="6" name="楕円 5">
          <a:extLst>
            <a:ext uri="{FF2B5EF4-FFF2-40B4-BE49-F238E27FC236}">
              <a16:creationId xmlns:a16="http://schemas.microsoft.com/office/drawing/2014/main" id="{00000000-0008-0000-0B00-000006000000}"/>
            </a:ext>
          </a:extLst>
        </xdr:cNvPr>
        <xdr:cNvSpPr>
          <a:spLocks noChangeArrowheads="1"/>
        </xdr:cNvSpPr>
      </xdr:nvSpPr>
      <xdr:spPr bwMode="auto">
        <a:xfrm>
          <a:off x="208788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6</xdr:col>
      <xdr:colOff>0</xdr:colOff>
      <xdr:row>1</xdr:row>
      <xdr:rowOff>0</xdr:rowOff>
    </xdr:from>
    <xdr:to>
      <xdr:col>6</xdr:col>
      <xdr:colOff>428625</xdr:colOff>
      <xdr:row>2</xdr:row>
      <xdr:rowOff>188595</xdr:rowOff>
    </xdr:to>
    <xdr:sp macro="" textlink="">
      <xdr:nvSpPr>
        <xdr:cNvPr id="7" name="楕円 6">
          <a:extLst>
            <a:ext uri="{FF2B5EF4-FFF2-40B4-BE49-F238E27FC236}">
              <a16:creationId xmlns:a16="http://schemas.microsoft.com/office/drawing/2014/main" id="{00000000-0008-0000-0B00-000007000000}"/>
            </a:ext>
          </a:extLst>
        </xdr:cNvPr>
        <xdr:cNvSpPr>
          <a:spLocks noChangeArrowheads="1"/>
        </xdr:cNvSpPr>
      </xdr:nvSpPr>
      <xdr:spPr bwMode="auto">
        <a:xfrm>
          <a:off x="256032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7</xdr:col>
      <xdr:colOff>0</xdr:colOff>
      <xdr:row>1</xdr:row>
      <xdr:rowOff>0</xdr:rowOff>
    </xdr:from>
    <xdr:to>
      <xdr:col>7</xdr:col>
      <xdr:colOff>428625</xdr:colOff>
      <xdr:row>2</xdr:row>
      <xdr:rowOff>188595</xdr:rowOff>
    </xdr:to>
    <xdr:sp macro="" textlink="">
      <xdr:nvSpPr>
        <xdr:cNvPr id="8" name="楕円 7">
          <a:extLst>
            <a:ext uri="{FF2B5EF4-FFF2-40B4-BE49-F238E27FC236}">
              <a16:creationId xmlns:a16="http://schemas.microsoft.com/office/drawing/2014/main" id="{00000000-0008-0000-0B00-000008000000}"/>
            </a:ext>
          </a:extLst>
        </xdr:cNvPr>
        <xdr:cNvSpPr>
          <a:spLocks noChangeArrowheads="1"/>
        </xdr:cNvSpPr>
      </xdr:nvSpPr>
      <xdr:spPr bwMode="auto">
        <a:xfrm>
          <a:off x="30327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8</xdr:col>
      <xdr:colOff>0</xdr:colOff>
      <xdr:row>1</xdr:row>
      <xdr:rowOff>0</xdr:rowOff>
    </xdr:from>
    <xdr:to>
      <xdr:col>8</xdr:col>
      <xdr:colOff>428625</xdr:colOff>
      <xdr:row>2</xdr:row>
      <xdr:rowOff>188595</xdr:rowOff>
    </xdr:to>
    <xdr:sp macro="" textlink="">
      <xdr:nvSpPr>
        <xdr:cNvPr id="9" name="楕円 8">
          <a:extLst>
            <a:ext uri="{FF2B5EF4-FFF2-40B4-BE49-F238E27FC236}">
              <a16:creationId xmlns:a16="http://schemas.microsoft.com/office/drawing/2014/main" id="{00000000-0008-0000-0B00-000009000000}"/>
            </a:ext>
          </a:extLst>
        </xdr:cNvPr>
        <xdr:cNvSpPr>
          <a:spLocks noChangeArrowheads="1"/>
        </xdr:cNvSpPr>
      </xdr:nvSpPr>
      <xdr:spPr bwMode="auto">
        <a:xfrm>
          <a:off x="35280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9</xdr:col>
      <xdr:colOff>0</xdr:colOff>
      <xdr:row>1</xdr:row>
      <xdr:rowOff>0</xdr:rowOff>
    </xdr:from>
    <xdr:to>
      <xdr:col>9</xdr:col>
      <xdr:colOff>428625</xdr:colOff>
      <xdr:row>2</xdr:row>
      <xdr:rowOff>188595</xdr:rowOff>
    </xdr:to>
    <xdr:sp macro="" textlink="">
      <xdr:nvSpPr>
        <xdr:cNvPr id="10" name="楕円 9">
          <a:extLst>
            <a:ext uri="{FF2B5EF4-FFF2-40B4-BE49-F238E27FC236}">
              <a16:creationId xmlns:a16="http://schemas.microsoft.com/office/drawing/2014/main" id="{00000000-0008-0000-0B00-00000A000000}"/>
            </a:ext>
          </a:extLst>
        </xdr:cNvPr>
        <xdr:cNvSpPr>
          <a:spLocks noChangeArrowheads="1"/>
        </xdr:cNvSpPr>
      </xdr:nvSpPr>
      <xdr:spPr bwMode="auto">
        <a:xfrm>
          <a:off x="40233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10</xdr:col>
      <xdr:colOff>0</xdr:colOff>
      <xdr:row>1</xdr:row>
      <xdr:rowOff>0</xdr:rowOff>
    </xdr:from>
    <xdr:to>
      <xdr:col>10</xdr:col>
      <xdr:colOff>428625</xdr:colOff>
      <xdr:row>2</xdr:row>
      <xdr:rowOff>188595</xdr:rowOff>
    </xdr:to>
    <xdr:sp macro="" textlink="">
      <xdr:nvSpPr>
        <xdr:cNvPr id="11" name="楕円 10">
          <a:extLst>
            <a:ext uri="{FF2B5EF4-FFF2-40B4-BE49-F238E27FC236}">
              <a16:creationId xmlns:a16="http://schemas.microsoft.com/office/drawing/2014/main" id="{00000000-0008-0000-0B00-00000B000000}"/>
            </a:ext>
          </a:extLst>
        </xdr:cNvPr>
        <xdr:cNvSpPr>
          <a:spLocks noChangeArrowheads="1"/>
        </xdr:cNvSpPr>
      </xdr:nvSpPr>
      <xdr:spPr bwMode="auto">
        <a:xfrm>
          <a:off x="45186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11</xdr:col>
      <xdr:colOff>0</xdr:colOff>
      <xdr:row>1</xdr:row>
      <xdr:rowOff>0</xdr:rowOff>
    </xdr:from>
    <xdr:to>
      <xdr:col>11</xdr:col>
      <xdr:colOff>428625</xdr:colOff>
      <xdr:row>2</xdr:row>
      <xdr:rowOff>188595</xdr:rowOff>
    </xdr:to>
    <xdr:sp macro="" textlink="">
      <xdr:nvSpPr>
        <xdr:cNvPr id="12" name="楕円 11">
          <a:extLst>
            <a:ext uri="{FF2B5EF4-FFF2-40B4-BE49-F238E27FC236}">
              <a16:creationId xmlns:a16="http://schemas.microsoft.com/office/drawing/2014/main" id="{00000000-0008-0000-0B00-00000C000000}"/>
            </a:ext>
          </a:extLst>
        </xdr:cNvPr>
        <xdr:cNvSpPr>
          <a:spLocks noChangeArrowheads="1"/>
        </xdr:cNvSpPr>
      </xdr:nvSpPr>
      <xdr:spPr bwMode="auto">
        <a:xfrm>
          <a:off x="50139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F7871-EF16-4F53-86E1-7B23F2B8B4AE}">
  <dimension ref="A1:A26"/>
  <sheetViews>
    <sheetView tabSelected="1" zoomScaleNormal="100" workbookViewId="0">
      <selection activeCell="A3" sqref="A3"/>
    </sheetView>
  </sheetViews>
  <sheetFormatPr defaultRowHeight="18" x14ac:dyDescent="0.45"/>
  <cols>
    <col min="1" max="1" width="89" bestFit="1" customWidth="1"/>
  </cols>
  <sheetData>
    <row r="1" spans="1:1" x14ac:dyDescent="0.45">
      <c r="A1" s="559" t="s">
        <v>371</v>
      </c>
    </row>
    <row r="3" spans="1:1" ht="36" x14ac:dyDescent="0.45">
      <c r="A3" s="114" t="s">
        <v>372</v>
      </c>
    </row>
    <row r="4" spans="1:1" x14ac:dyDescent="0.45">
      <c r="A4" s="309" t="s">
        <v>373</v>
      </c>
    </row>
    <row r="5" spans="1:1" x14ac:dyDescent="0.45">
      <c r="A5" s="309"/>
    </row>
    <row r="6" spans="1:1" ht="36" x14ac:dyDescent="0.45">
      <c r="A6" s="560" t="s">
        <v>374</v>
      </c>
    </row>
    <row r="7" spans="1:1" ht="36" x14ac:dyDescent="0.45">
      <c r="A7" s="314" t="s">
        <v>375</v>
      </c>
    </row>
    <row r="9" spans="1:1" x14ac:dyDescent="0.45">
      <c r="A9" s="114" t="s">
        <v>376</v>
      </c>
    </row>
    <row r="11" spans="1:1" ht="36" x14ac:dyDescent="0.45">
      <c r="A11" s="114" t="s">
        <v>377</v>
      </c>
    </row>
    <row r="12" spans="1:1" x14ac:dyDescent="0.45">
      <c r="A12" s="309" t="s">
        <v>378</v>
      </c>
    </row>
    <row r="13" spans="1:1" x14ac:dyDescent="0.45">
      <c r="A13" s="309" t="s">
        <v>379</v>
      </c>
    </row>
    <row r="14" spans="1:1" s="309" customFormat="1" x14ac:dyDescent="0.45">
      <c r="A14" s="309" t="s">
        <v>380</v>
      </c>
    </row>
    <row r="15" spans="1:1" x14ac:dyDescent="0.45">
      <c r="A15" s="309" t="s">
        <v>381</v>
      </c>
    </row>
    <row r="17" spans="1:1" x14ac:dyDescent="0.45">
      <c r="A17" s="561" t="s">
        <v>382</v>
      </c>
    </row>
    <row r="19" spans="1:1" x14ac:dyDescent="0.45">
      <c r="A19" t="s">
        <v>383</v>
      </c>
    </row>
    <row r="21" spans="1:1" ht="36" x14ac:dyDescent="0.45">
      <c r="A21" s="114" t="s">
        <v>384</v>
      </c>
    </row>
    <row r="22" spans="1:1" x14ac:dyDescent="0.45">
      <c r="A22" s="114"/>
    </row>
    <row r="23" spans="1:1" ht="36" x14ac:dyDescent="0.45">
      <c r="A23" s="114" t="s">
        <v>385</v>
      </c>
    </row>
    <row r="25" spans="1:1" x14ac:dyDescent="0.45">
      <c r="A25" t="s">
        <v>386</v>
      </c>
    </row>
    <row r="26" spans="1:1" ht="36" x14ac:dyDescent="0.45">
      <c r="A26" s="114" t="s">
        <v>387</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4:M44"/>
  <sheetViews>
    <sheetView view="pageBreakPreview" topLeftCell="A14" zoomScaleNormal="100" zoomScaleSheetLayoutView="100" workbookViewId="0">
      <selection activeCell="D38" sqref="D38"/>
    </sheetView>
  </sheetViews>
  <sheetFormatPr defaultRowHeight="13.2" x14ac:dyDescent="0.45"/>
  <cols>
    <col min="1" max="2" width="3.19921875" style="8" customWidth="1"/>
    <col min="3" max="3" width="2.296875" style="8" customWidth="1"/>
    <col min="4" max="4" width="9.69921875" style="8" customWidth="1"/>
    <col min="5" max="5" width="3" style="8" customWidth="1"/>
    <col min="6" max="6" width="16.8984375" style="8" customWidth="1"/>
    <col min="7" max="7" width="8.09765625" style="8" customWidth="1"/>
    <col min="8" max="8" width="9.796875" style="8" customWidth="1"/>
    <col min="9" max="9" width="2.69921875" style="8" customWidth="1"/>
    <col min="10" max="10" width="15.69921875" style="8" customWidth="1"/>
    <col min="11" max="11" width="13.69921875" style="8" customWidth="1"/>
    <col min="12" max="12" width="2.69921875" style="8" customWidth="1"/>
    <col min="13" max="16" width="9.5" style="8" customWidth="1"/>
    <col min="17" max="16384" width="8.796875" style="8"/>
  </cols>
  <sheetData>
    <row r="4" spans="1:13" ht="14.4" x14ac:dyDescent="0.45">
      <c r="A4" s="254" t="s">
        <v>277</v>
      </c>
      <c r="B4" s="254"/>
      <c r="C4" s="9"/>
      <c r="D4" s="9"/>
      <c r="E4" s="9"/>
    </row>
    <row r="6" spans="1:13" ht="14.4" x14ac:dyDescent="0.45">
      <c r="J6" s="489" t="s">
        <v>136</v>
      </c>
      <c r="K6" s="489"/>
      <c r="L6" s="489"/>
    </row>
    <row r="7" spans="1:13" ht="14.4" x14ac:dyDescent="0.45">
      <c r="A7" s="69" t="s">
        <v>1</v>
      </c>
    </row>
    <row r="8" spans="1:13" ht="15" thickBot="1" x14ac:dyDescent="0.5">
      <c r="H8" s="251"/>
    </row>
    <row r="9" spans="1:13" ht="27" customHeight="1" thickBot="1" x14ac:dyDescent="0.5">
      <c r="D9" s="270" t="s">
        <v>10</v>
      </c>
      <c r="E9" s="557" t="str">
        <f>実績入力フォーム!B2&amp;""</f>
        <v/>
      </c>
      <c r="F9" s="557"/>
      <c r="G9" s="558"/>
      <c r="H9" s="268" t="s">
        <v>202</v>
      </c>
      <c r="I9" s="494" t="str">
        <f>実績入力フォーム!B6&amp;"　"&amp;実績入力フォーム!B7</f>
        <v>　</v>
      </c>
      <c r="J9" s="494"/>
      <c r="K9" s="494"/>
      <c r="L9" s="306" t="s">
        <v>282</v>
      </c>
      <c r="M9" s="8" t="s">
        <v>27</v>
      </c>
    </row>
    <row r="10" spans="1:13" x14ac:dyDescent="0.45">
      <c r="D10" s="462" t="s">
        <v>11</v>
      </c>
      <c r="E10" s="492" t="str">
        <f>IF(実績入力フォーム!B4="","〒",実績入力フォーム!B4)</f>
        <v>〒</v>
      </c>
      <c r="F10" s="492"/>
      <c r="G10" s="493"/>
      <c r="H10" s="369" t="s">
        <v>12</v>
      </c>
      <c r="I10" s="500" t="str">
        <f>実績入力フォーム!B8&amp;""</f>
        <v/>
      </c>
      <c r="J10" s="500"/>
      <c r="K10" s="500"/>
      <c r="L10" s="501"/>
      <c r="M10" s="8" t="s">
        <v>27</v>
      </c>
    </row>
    <row r="11" spans="1:13" x14ac:dyDescent="0.45">
      <c r="D11" s="371"/>
      <c r="E11" s="490" t="str">
        <f>実績入力フォーム!B5&amp;""</f>
        <v/>
      </c>
      <c r="F11" s="490"/>
      <c r="G11" s="491"/>
      <c r="H11" s="372"/>
      <c r="I11" s="490"/>
      <c r="J11" s="490"/>
      <c r="K11" s="490"/>
      <c r="L11" s="491"/>
    </row>
    <row r="12" spans="1:13" ht="6.6" customHeight="1" x14ac:dyDescent="0.45">
      <c r="D12" s="277"/>
      <c r="E12" s="238"/>
      <c r="F12" s="238"/>
      <c r="G12" s="238"/>
      <c r="H12" s="262"/>
      <c r="I12" s="500"/>
      <c r="J12" s="500"/>
      <c r="K12" s="500"/>
      <c r="L12" s="500"/>
    </row>
    <row r="13" spans="1:13" x14ac:dyDescent="0.45">
      <c r="D13" s="349" t="s">
        <v>206</v>
      </c>
      <c r="E13" s="349"/>
      <c r="F13" s="349"/>
      <c r="G13" s="349"/>
      <c r="H13" s="349"/>
      <c r="I13" s="349"/>
      <c r="J13" s="349"/>
      <c r="K13" s="349"/>
      <c r="L13" s="349"/>
    </row>
    <row r="14" spans="1:13" ht="26.4" customHeight="1" x14ac:dyDescent="0.45">
      <c r="D14" s="266" t="s">
        <v>192</v>
      </c>
      <c r="E14" s="397" t="str">
        <f>実績入力フォーム!B9&amp;""</f>
        <v/>
      </c>
      <c r="F14" s="397"/>
      <c r="G14" s="398"/>
      <c r="H14" s="241" t="s">
        <v>191</v>
      </c>
      <c r="I14" s="494" t="str">
        <f>実績入力フォーム!B10&amp;""</f>
        <v/>
      </c>
      <c r="J14" s="494"/>
      <c r="K14" s="494"/>
      <c r="L14" s="503"/>
      <c r="M14" s="8" t="s">
        <v>27</v>
      </c>
    </row>
    <row r="15" spans="1:13" ht="12.6" customHeight="1" x14ac:dyDescent="0.45">
      <c r="D15" s="368" t="s">
        <v>203</v>
      </c>
      <c r="E15" s="496" t="str">
        <f>IF(実績入力フォーム!B11="","〒",実績入力フォーム!B11)</f>
        <v>〒</v>
      </c>
      <c r="F15" s="496"/>
      <c r="G15" s="497"/>
      <c r="H15" s="378" t="s">
        <v>212</v>
      </c>
      <c r="I15" s="506" t="str">
        <f>IF(AND(実績入力フォーム!B13&lt;&gt;"",実績入力フォーム!B14&lt;&gt;""),"①"&amp;実績入力フォーム!B13&amp;"/②"&amp;実績入力フォーム!B14,IF(AND(実績入力フォーム!B13&lt;&gt;"",実績入力フォーム!B14=""),"①"&amp;実績入力フォーム!B13,IF(AND(実績入力フォーム!B13="",実績入力フォーム!B14&lt;&gt;""),"②"&amp;実績入力フォーム!B14,"①　　　　　         　　　　　　　　　②")))</f>
        <v>①　　　　　         　　　　　　　　　②</v>
      </c>
      <c r="J15" s="506"/>
      <c r="K15" s="506"/>
      <c r="L15" s="507"/>
    </row>
    <row r="16" spans="1:13" ht="22.2" customHeight="1" x14ac:dyDescent="0.45">
      <c r="D16" s="371"/>
      <c r="E16" s="504" t="str">
        <f>実績入力フォーム!B12&amp;""</f>
        <v/>
      </c>
      <c r="F16" s="504"/>
      <c r="G16" s="505"/>
      <c r="H16" s="372"/>
      <c r="I16" s="504"/>
      <c r="J16" s="504"/>
      <c r="K16" s="504"/>
      <c r="L16" s="505"/>
      <c r="M16" s="8" t="s">
        <v>27</v>
      </c>
    </row>
    <row r="17" spans="1:13" ht="26.4" customHeight="1" x14ac:dyDescent="0.45">
      <c r="D17" s="278" t="s">
        <v>204</v>
      </c>
      <c r="E17" s="498" t="str">
        <f>実績入力フォーム!B15&amp;""</f>
        <v/>
      </c>
      <c r="F17" s="498"/>
      <c r="G17" s="499"/>
      <c r="H17" s="268" t="s">
        <v>193</v>
      </c>
      <c r="I17" s="504" t="str">
        <f>実績入力フォーム!B16&amp;""</f>
        <v/>
      </c>
      <c r="J17" s="504"/>
      <c r="K17" s="504"/>
      <c r="L17" s="505"/>
      <c r="M17" s="8" t="s">
        <v>27</v>
      </c>
    </row>
    <row r="18" spans="1:13" ht="13.2" customHeight="1" x14ac:dyDescent="0.45">
      <c r="G18" s="342" t="s">
        <v>19</v>
      </c>
      <c r="H18" s="342"/>
      <c r="I18" s="342"/>
      <c r="J18" s="342"/>
      <c r="K18" s="342"/>
      <c r="L18" s="342"/>
    </row>
    <row r="20" spans="1:13" ht="14.4" x14ac:dyDescent="0.45">
      <c r="A20" s="10" t="s">
        <v>97</v>
      </c>
      <c r="B20" s="10"/>
      <c r="C20" s="10"/>
      <c r="D20" s="10"/>
      <c r="E20" s="10"/>
      <c r="F20" s="11"/>
      <c r="G20" s="11"/>
      <c r="H20" s="11"/>
      <c r="I20" s="11"/>
      <c r="J20" s="11"/>
      <c r="K20" s="11"/>
      <c r="L20" s="11"/>
    </row>
    <row r="21" spans="1:13" ht="14.4" x14ac:dyDescent="0.45">
      <c r="A21" s="10" t="s">
        <v>230</v>
      </c>
      <c r="B21" s="10"/>
      <c r="C21" s="10"/>
      <c r="D21" s="10"/>
      <c r="E21" s="10"/>
      <c r="F21" s="11"/>
      <c r="G21" s="11"/>
      <c r="H21" s="11"/>
      <c r="I21" s="11"/>
      <c r="J21" s="11"/>
      <c r="K21" s="11"/>
      <c r="L21" s="11"/>
    </row>
    <row r="23" spans="1:13" ht="14.4" x14ac:dyDescent="0.45">
      <c r="A23" s="466" t="str">
        <f>IF(実績入力フォーム!B17="","令和　　年　　月　　日付けで交付決定を受けた事業を完了したので、令和７年度地域の底力発展", DBCS(TEXT(実績入力フォーム!B17, "ggge年m月d日"))&amp;"付けで交付決定を受けた事業を完了したので、令和７年度地域の底力発展")</f>
        <v>令和　　年　　月　　日付けで交付決定を受けた事業を完了したので、令和７年度地域の底力発展</v>
      </c>
      <c r="B23" s="466"/>
      <c r="C23" s="466"/>
      <c r="D23" s="466"/>
      <c r="E23" s="466"/>
      <c r="F23" s="466"/>
      <c r="G23" s="466"/>
      <c r="H23" s="466"/>
      <c r="I23" s="466"/>
      <c r="J23" s="466"/>
      <c r="K23" s="466"/>
      <c r="L23" s="466"/>
    </row>
    <row r="24" spans="1:13" ht="14.4" x14ac:dyDescent="0.45">
      <c r="A24" s="69" t="s">
        <v>187</v>
      </c>
      <c r="B24" s="69"/>
    </row>
    <row r="26" spans="1:13" ht="14.4" x14ac:dyDescent="0.45">
      <c r="A26" s="10" t="s">
        <v>4</v>
      </c>
      <c r="B26" s="11"/>
      <c r="C26" s="11"/>
      <c r="D26" s="11"/>
      <c r="E26" s="11"/>
      <c r="F26" s="11"/>
      <c r="G26" s="11"/>
      <c r="H26" s="11"/>
      <c r="I26" s="11"/>
      <c r="J26" s="11"/>
      <c r="K26" s="11"/>
      <c r="L26" s="11"/>
    </row>
    <row r="28" spans="1:13" ht="14.4" x14ac:dyDescent="0.45">
      <c r="A28" s="247" t="s">
        <v>6</v>
      </c>
      <c r="B28" s="240" t="s">
        <v>98</v>
      </c>
      <c r="C28" s="240"/>
      <c r="D28" s="240"/>
      <c r="E28" s="240"/>
      <c r="F28" s="69"/>
      <c r="G28" s="69"/>
      <c r="H28" s="69"/>
      <c r="I28" s="69"/>
      <c r="J28" s="69"/>
      <c r="K28" s="69"/>
      <c r="L28" s="69"/>
    </row>
    <row r="29" spans="1:13" ht="23.4" customHeight="1" x14ac:dyDescent="0.45">
      <c r="A29" s="248" t="s">
        <v>99</v>
      </c>
      <c r="B29" s="69" t="s">
        <v>100</v>
      </c>
      <c r="C29" s="69"/>
      <c r="D29" s="69"/>
      <c r="E29" s="69"/>
      <c r="F29" s="495" t="str">
        <f>IF(実績入力フォーム!B23="", "　　　　年　　　　月　　　　日から　　　　年　　　　月　　　　日まで", 実績入力フォーム!D22&amp;"から"&amp;実績入力フォーム!D23&amp;"まで")</f>
        <v>　　　　年　　　　月　　　　日から　　　　年　　　　月　　　　日まで</v>
      </c>
      <c r="G29" s="495"/>
      <c r="H29" s="495"/>
      <c r="I29" s="495"/>
      <c r="J29" s="495"/>
      <c r="K29" s="495"/>
      <c r="L29" s="495"/>
      <c r="M29" s="8" t="s">
        <v>27</v>
      </c>
    </row>
    <row r="30" spans="1:13" ht="8.4" customHeight="1" x14ac:dyDescent="0.45">
      <c r="A30" s="247"/>
      <c r="B30" s="240"/>
      <c r="C30" s="240"/>
      <c r="D30" s="240"/>
      <c r="E30" s="240"/>
      <c r="F30" s="249"/>
      <c r="G30" s="249"/>
      <c r="H30" s="69"/>
      <c r="I30" s="69"/>
      <c r="J30" s="69"/>
      <c r="K30" s="69"/>
      <c r="L30" s="69"/>
    </row>
    <row r="31" spans="1:13" ht="23.4" customHeight="1" x14ac:dyDescent="0.45">
      <c r="A31" s="248" t="s">
        <v>280</v>
      </c>
      <c r="B31" s="465" t="s">
        <v>281</v>
      </c>
      <c r="C31" s="465"/>
      <c r="D31" s="465"/>
      <c r="E31" s="465"/>
      <c r="F31" s="495" t="str">
        <f>IF(実績入力フォーム!D25="","　　　　年　　　　月　　　　日",実績入力フォーム!D25)</f>
        <v>　　　　年　　　　月　　　　日</v>
      </c>
      <c r="G31" s="495"/>
      <c r="H31" s="495"/>
      <c r="I31" s="495"/>
      <c r="J31" s="495"/>
      <c r="K31" s="495"/>
      <c r="L31" s="495"/>
      <c r="M31" s="8" t="s">
        <v>27</v>
      </c>
    </row>
    <row r="32" spans="1:13" ht="8.4" customHeight="1" x14ac:dyDescent="0.45">
      <c r="A32" s="69"/>
      <c r="B32" s="69"/>
      <c r="C32" s="69"/>
      <c r="D32" s="69"/>
      <c r="E32" s="69"/>
      <c r="F32" s="69"/>
      <c r="G32" s="69"/>
      <c r="H32" s="69"/>
      <c r="I32" s="69"/>
      <c r="J32" s="69"/>
      <c r="K32" s="69"/>
      <c r="L32" s="69"/>
    </row>
    <row r="33" spans="1:13" ht="23.4" customHeight="1" x14ac:dyDescent="0.45">
      <c r="A33" s="248" t="s">
        <v>101</v>
      </c>
      <c r="B33" s="69" t="s">
        <v>279</v>
      </c>
      <c r="C33" s="69"/>
      <c r="D33" s="250"/>
      <c r="E33" s="250"/>
      <c r="F33" s="495" t="str">
        <f>IF(実績入力フォーム!B24="","　　　　　　　　　名",TEXT(実績入力フォーム!B24,"#,##0"&amp;"名"))</f>
        <v>　　　　　　　　　名</v>
      </c>
      <c r="G33" s="495"/>
      <c r="H33" s="495"/>
      <c r="I33" s="495"/>
      <c r="J33" s="495"/>
      <c r="K33" s="495"/>
      <c r="L33" s="495"/>
      <c r="M33" s="8" t="s">
        <v>27</v>
      </c>
    </row>
    <row r="34" spans="1:13" ht="8.4" customHeight="1" x14ac:dyDescent="0.45">
      <c r="A34" s="69"/>
      <c r="B34" s="69"/>
      <c r="C34" s="69"/>
      <c r="D34" s="69"/>
      <c r="E34" s="69"/>
      <c r="F34" s="69"/>
      <c r="G34" s="69"/>
      <c r="H34" s="69"/>
      <c r="I34" s="69"/>
      <c r="J34" s="69"/>
      <c r="K34" s="69"/>
      <c r="L34" s="69"/>
    </row>
    <row r="35" spans="1:13" ht="14.4" x14ac:dyDescent="0.45">
      <c r="A35" s="248" t="s">
        <v>102</v>
      </c>
      <c r="B35" s="69" t="s">
        <v>104</v>
      </c>
      <c r="C35" s="69"/>
      <c r="D35" s="69"/>
      <c r="E35" s="69"/>
      <c r="F35" s="69"/>
      <c r="G35" s="69"/>
      <c r="H35" s="69"/>
      <c r="I35" s="69"/>
      <c r="J35" s="69"/>
      <c r="K35" s="69"/>
      <c r="L35" s="69"/>
    </row>
    <row r="36" spans="1:13" ht="23.4" customHeight="1" x14ac:dyDescent="0.45">
      <c r="A36" s="69"/>
      <c r="B36" s="71"/>
      <c r="C36" s="71" t="str">
        <f>IF(実績入力フォーム!B27="☑","☑","□")</f>
        <v>□</v>
      </c>
      <c r="D36" s="69" t="s">
        <v>307</v>
      </c>
      <c r="E36" s="69"/>
      <c r="F36" s="69"/>
      <c r="G36" s="69"/>
      <c r="H36" s="69"/>
      <c r="I36" s="69"/>
      <c r="J36" s="69"/>
      <c r="K36" s="69"/>
      <c r="L36" s="69"/>
      <c r="M36" s="8" t="s">
        <v>27</v>
      </c>
    </row>
    <row r="37" spans="1:13" ht="23.4" customHeight="1" x14ac:dyDescent="0.45">
      <c r="A37" s="69"/>
      <c r="B37" s="71"/>
      <c r="C37" s="71" t="str">
        <f>IF(実績入力フォーム!B28="☑","☑","□")</f>
        <v>□</v>
      </c>
      <c r="D37" s="69" t="s">
        <v>20</v>
      </c>
      <c r="E37" s="69"/>
      <c r="F37" s="69"/>
      <c r="G37" s="69"/>
      <c r="H37" s="69"/>
      <c r="I37" s="69"/>
      <c r="J37" s="69"/>
      <c r="K37" s="69"/>
      <c r="L37" s="69"/>
      <c r="M37" s="8" t="s">
        <v>27</v>
      </c>
    </row>
    <row r="38" spans="1:13" ht="23.4" customHeight="1" x14ac:dyDescent="0.45">
      <c r="A38" s="69"/>
      <c r="B38" s="69"/>
      <c r="C38" s="69"/>
      <c r="D38" s="69" t="str">
        <f>IF(実績入力フォーム!B28="","(　　　　　　　　　　　　　　　　　　　　　　　　　　　　　　　　　　　　　　　)","("&amp;実績入力フォーム!B29&amp;")")</f>
        <v>(　　　　　　　　　　　　　　　　　　　　　　　　　　　　　　　　　　　　　　　)</v>
      </c>
      <c r="E38" s="69"/>
      <c r="F38" s="71"/>
      <c r="G38" s="71"/>
      <c r="H38" s="69"/>
      <c r="I38" s="69"/>
      <c r="J38" s="69"/>
      <c r="K38" s="69"/>
      <c r="L38" s="69"/>
      <c r="M38" s="8" t="s">
        <v>27</v>
      </c>
    </row>
    <row r="39" spans="1:13" ht="8.4" customHeight="1" x14ac:dyDescent="0.45">
      <c r="A39" s="69"/>
      <c r="B39" s="69"/>
      <c r="C39" s="69"/>
      <c r="D39" s="69"/>
      <c r="E39" s="69"/>
      <c r="F39" s="69"/>
      <c r="G39" s="69"/>
      <c r="H39" s="69"/>
      <c r="I39" s="69"/>
      <c r="J39" s="69"/>
      <c r="K39" s="69"/>
      <c r="L39" s="69"/>
    </row>
    <row r="40" spans="1:13" ht="14.4" x14ac:dyDescent="0.45">
      <c r="A40" s="248" t="s">
        <v>103</v>
      </c>
      <c r="B40" s="69" t="s">
        <v>308</v>
      </c>
      <c r="C40" s="69"/>
      <c r="D40" s="69"/>
      <c r="E40" s="69"/>
      <c r="F40" s="69"/>
      <c r="G40" s="69" t="s">
        <v>186</v>
      </c>
      <c r="H40" s="69"/>
      <c r="I40" s="69"/>
      <c r="J40" s="69"/>
      <c r="K40" s="69"/>
      <c r="L40" s="69"/>
    </row>
    <row r="41" spans="1:13" ht="8.4" customHeight="1" x14ac:dyDescent="0.45">
      <c r="A41" s="69"/>
      <c r="B41" s="69"/>
      <c r="C41" s="69"/>
      <c r="D41" s="69"/>
      <c r="E41" s="69"/>
      <c r="F41" s="69"/>
      <c r="G41" s="69"/>
      <c r="H41" s="69"/>
      <c r="I41" s="69"/>
      <c r="J41" s="69"/>
      <c r="K41" s="69"/>
      <c r="L41" s="69"/>
    </row>
    <row r="42" spans="1:13" ht="25.8" customHeight="1" x14ac:dyDescent="0.45">
      <c r="A42" s="248" t="s">
        <v>7</v>
      </c>
      <c r="B42" s="69" t="s">
        <v>105</v>
      </c>
      <c r="C42" s="69"/>
      <c r="D42" s="69"/>
      <c r="E42" s="502" t="str">
        <f>IF(決算書!K57="","金　　　　　　　円","金"&amp;DBCS(TEXT(決算書!K57,"#,##0")&amp;"円"))</f>
        <v>金　　　　　　　円</v>
      </c>
      <c r="F42" s="502"/>
      <c r="G42" s="252"/>
      <c r="H42" s="69"/>
      <c r="I42" s="69"/>
      <c r="J42" s="69"/>
      <c r="K42" s="69"/>
      <c r="L42" s="69"/>
      <c r="M42" s="8" t="s">
        <v>27</v>
      </c>
    </row>
    <row r="43" spans="1:13" ht="14.4" x14ac:dyDescent="0.45">
      <c r="A43" s="69"/>
      <c r="B43" s="69"/>
      <c r="C43" s="69"/>
      <c r="D43" s="69"/>
      <c r="E43" s="69" t="s">
        <v>106</v>
      </c>
      <c r="F43" s="69"/>
      <c r="G43" s="69"/>
      <c r="H43" s="69"/>
      <c r="I43" s="69"/>
      <c r="J43" s="69"/>
      <c r="K43" s="69"/>
      <c r="L43" s="69"/>
    </row>
    <row r="44" spans="1:13" ht="14.4" x14ac:dyDescent="0.45">
      <c r="A44" s="69"/>
      <c r="B44" s="69"/>
      <c r="C44" s="69"/>
      <c r="D44" s="69"/>
      <c r="E44" s="69" t="s">
        <v>107</v>
      </c>
      <c r="F44" s="69"/>
      <c r="G44" s="69"/>
      <c r="H44" s="69"/>
      <c r="I44" s="69"/>
      <c r="J44" s="69"/>
      <c r="K44" s="69"/>
      <c r="L44" s="69"/>
    </row>
  </sheetData>
  <dataConsolidate/>
  <mergeCells count="26">
    <mergeCell ref="F33:L33"/>
    <mergeCell ref="E42:F42"/>
    <mergeCell ref="I12:L12"/>
    <mergeCell ref="I14:L14"/>
    <mergeCell ref="I17:L17"/>
    <mergeCell ref="A23:L23"/>
    <mergeCell ref="G18:L18"/>
    <mergeCell ref="E17:G17"/>
    <mergeCell ref="E16:G16"/>
    <mergeCell ref="I15:L16"/>
    <mergeCell ref="F31:L31"/>
    <mergeCell ref="J6:L6"/>
    <mergeCell ref="E9:G9"/>
    <mergeCell ref="E11:G11"/>
    <mergeCell ref="E10:G10"/>
    <mergeCell ref="B31:E31"/>
    <mergeCell ref="I9:K9"/>
    <mergeCell ref="F29:L29"/>
    <mergeCell ref="E15:G15"/>
    <mergeCell ref="E14:G14"/>
    <mergeCell ref="D13:L13"/>
    <mergeCell ref="H10:H11"/>
    <mergeCell ref="I10:L11"/>
    <mergeCell ref="D10:D11"/>
    <mergeCell ref="D15:D16"/>
    <mergeCell ref="H15:H16"/>
  </mergeCells>
  <phoneticPr fontId="1"/>
  <pageMargins left="0.51181102362204722" right="0.51181102362204722" top="0.39370078740157483" bottom="0.39370078740157483" header="0.31496062992125984" footer="0.31496062992125984"/>
  <pageSetup paperSize="9" scale="93" orientation="portrait" r:id="rId1"/>
  <rowBreaks count="1" manualBreakCount="1">
    <brk id="44" max="10" man="1"/>
  </rowBreaks>
  <colBreaks count="1" manualBreakCount="1">
    <brk id="16"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61"/>
  <sheetViews>
    <sheetView view="pageBreakPreview" topLeftCell="C1" zoomScaleNormal="100" zoomScaleSheetLayoutView="100" workbookViewId="0">
      <selection activeCell="I20" sqref="I20:J20"/>
    </sheetView>
  </sheetViews>
  <sheetFormatPr defaultRowHeight="13.2" x14ac:dyDescent="0.45"/>
  <cols>
    <col min="1" max="1" width="0.8984375" style="57" customWidth="1"/>
    <col min="2" max="4" width="2" style="57" customWidth="1"/>
    <col min="5" max="5" width="4.296875" style="57" customWidth="1"/>
    <col min="6" max="6" width="7.296875" style="57" customWidth="1"/>
    <col min="7" max="7" width="26.19921875" style="57" customWidth="1"/>
    <col min="8" max="8" width="7.5" style="57" customWidth="1"/>
    <col min="9" max="10" width="13.3984375" style="57" customWidth="1"/>
    <col min="11" max="11" width="7.5" style="57" customWidth="1"/>
    <col min="12" max="12" width="5.19921875" style="58" customWidth="1"/>
    <col min="13" max="13" width="1.296875" style="57" customWidth="1"/>
    <col min="14" max="14" width="0.59765625" style="57" customWidth="1"/>
    <col min="15" max="16384" width="8.796875" style="57"/>
  </cols>
  <sheetData>
    <row r="1" spans="1:14" ht="6.15" customHeight="1" x14ac:dyDescent="0.45"/>
    <row r="2" spans="1:14" ht="19.8" thickBot="1" x14ac:dyDescent="0.5">
      <c r="B2" s="59" t="s">
        <v>88</v>
      </c>
    </row>
    <row r="3" spans="1:14" ht="16.8" customHeight="1" thickBot="1" x14ac:dyDescent="0.5">
      <c r="A3" s="59"/>
      <c r="B3" s="59"/>
      <c r="C3" s="59"/>
      <c r="D3" s="59"/>
      <c r="E3" s="59"/>
      <c r="F3" s="59"/>
      <c r="G3" s="112"/>
      <c r="H3" s="113"/>
      <c r="I3" s="60" t="s">
        <v>124</v>
      </c>
      <c r="J3" s="508" t="str">
        <f>入力フォーム!B2&amp;""</f>
        <v/>
      </c>
      <c r="K3" s="508"/>
      <c r="L3" s="509"/>
      <c r="N3" s="58"/>
    </row>
    <row r="4" spans="1:14" ht="14.1" customHeight="1" thickBot="1" x14ac:dyDescent="0.5">
      <c r="K4" s="61"/>
      <c r="L4" s="61" t="s">
        <v>123</v>
      </c>
    </row>
    <row r="5" spans="1:14" ht="21.6" customHeight="1" x14ac:dyDescent="0.45">
      <c r="B5" s="518" t="s">
        <v>43</v>
      </c>
      <c r="C5" s="519"/>
      <c r="D5" s="519"/>
      <c r="E5" s="519"/>
      <c r="F5" s="515"/>
      <c r="G5" s="81" t="s">
        <v>127</v>
      </c>
      <c r="H5" s="81" t="s">
        <v>95</v>
      </c>
      <c r="I5" s="514" t="s">
        <v>128</v>
      </c>
      <c r="J5" s="515"/>
      <c r="K5" s="82" t="s">
        <v>96</v>
      </c>
      <c r="L5" s="106"/>
    </row>
    <row r="6" spans="1:14" ht="2.4" customHeight="1" x14ac:dyDescent="0.45">
      <c r="B6" s="31"/>
      <c r="C6" s="28"/>
      <c r="D6" s="28"/>
      <c r="E6" s="28"/>
      <c r="F6" s="28"/>
      <c r="G6" s="51"/>
      <c r="H6" s="83"/>
      <c r="I6" s="51"/>
      <c r="J6" s="109"/>
      <c r="K6" s="116"/>
      <c r="L6" s="107"/>
    </row>
    <row r="7" spans="1:14" ht="13.2" customHeight="1" x14ac:dyDescent="0.45">
      <c r="B7" s="31" t="s">
        <v>46</v>
      </c>
      <c r="C7" s="28"/>
      <c r="D7" s="28"/>
      <c r="E7" s="28"/>
      <c r="F7" s="28"/>
      <c r="G7" s="52"/>
      <c r="H7" s="83"/>
      <c r="I7" s="83"/>
      <c r="J7" s="109"/>
      <c r="K7" s="116"/>
      <c r="L7" s="107"/>
    </row>
    <row r="8" spans="1:14" ht="13.2" customHeight="1" x14ac:dyDescent="0.45">
      <c r="B8" s="31"/>
      <c r="C8" s="39" t="s">
        <v>89</v>
      </c>
      <c r="D8" s="39"/>
      <c r="E8" s="39"/>
      <c r="F8" s="39"/>
      <c r="G8" s="53" t="s">
        <v>90</v>
      </c>
      <c r="H8" s="135" t="str">
        <f>収支予算書!J8</f>
        <v/>
      </c>
      <c r="I8" s="546" t="s">
        <v>148</v>
      </c>
      <c r="J8" s="547"/>
      <c r="K8" s="120" t="str">
        <f>IFERROR(実績入力フォーム!B195,"")</f>
        <v/>
      </c>
      <c r="L8" s="107"/>
    </row>
    <row r="9" spans="1:14" ht="13.2" customHeight="1" x14ac:dyDescent="0.45">
      <c r="B9" s="31"/>
      <c r="C9" s="54"/>
      <c r="D9" s="520" t="s">
        <v>49</v>
      </c>
      <c r="E9" s="520"/>
      <c r="F9" s="521"/>
      <c r="G9" s="52"/>
      <c r="H9" s="136"/>
      <c r="I9" s="548"/>
      <c r="J9" s="549"/>
      <c r="K9" s="125"/>
      <c r="L9" s="107"/>
    </row>
    <row r="10" spans="1:14" ht="13.2" customHeight="1" x14ac:dyDescent="0.45">
      <c r="B10" s="31"/>
      <c r="C10" s="28" t="s">
        <v>91</v>
      </c>
      <c r="D10" s="28"/>
      <c r="E10" s="28"/>
      <c r="F10" s="28"/>
      <c r="G10" s="53" t="s">
        <v>51</v>
      </c>
      <c r="H10" s="137" t="str">
        <f>収支予算書!J10</f>
        <v/>
      </c>
      <c r="I10" s="546" t="s">
        <v>147</v>
      </c>
      <c r="J10" s="547"/>
      <c r="K10" s="121" t="str">
        <f>IFERROR(実績入力フォーム!B194,"")</f>
        <v/>
      </c>
      <c r="L10" s="107"/>
    </row>
    <row r="11" spans="1:14" ht="13.2" customHeight="1" x14ac:dyDescent="0.45">
      <c r="B11" s="31"/>
      <c r="C11" s="28"/>
      <c r="D11" s="28"/>
      <c r="E11" s="28"/>
      <c r="F11" s="28"/>
      <c r="G11" s="52" t="str">
        <f>収支予算書!G11</f>
        <v/>
      </c>
      <c r="H11" s="137" t="str">
        <f>収支予算書!J11</f>
        <v/>
      </c>
      <c r="I11" s="550" t="str">
        <f>実績入力フォーム!B189</f>
        <v/>
      </c>
      <c r="J11" s="551"/>
      <c r="K11" s="123" t="str">
        <f>実績入力フォーム!B190</f>
        <v/>
      </c>
      <c r="L11" s="107"/>
    </row>
    <row r="12" spans="1:14" ht="13.2" customHeight="1" x14ac:dyDescent="0.45">
      <c r="B12" s="31"/>
      <c r="C12" s="33" t="s">
        <v>52</v>
      </c>
      <c r="D12" s="33"/>
      <c r="E12" s="33"/>
      <c r="F12" s="33"/>
      <c r="G12" s="85"/>
      <c r="H12" s="138" t="str">
        <f>IFERROR(H8+H10+IF(H11="",0,H11), "")</f>
        <v/>
      </c>
      <c r="I12" s="552"/>
      <c r="J12" s="553"/>
      <c r="K12" s="122" t="str">
        <f>IFERROR(K8+K10+IF(K11="",0,K11), "")</f>
        <v/>
      </c>
      <c r="L12" s="108"/>
    </row>
    <row r="13" spans="1:14" ht="21.6" x14ac:dyDescent="0.45">
      <c r="B13" s="522" t="s">
        <v>53</v>
      </c>
      <c r="C13" s="523"/>
      <c r="D13" s="523"/>
      <c r="E13" s="523"/>
      <c r="F13" s="517"/>
      <c r="G13" s="86" t="s">
        <v>125</v>
      </c>
      <c r="H13" s="139" t="s">
        <v>95</v>
      </c>
      <c r="I13" s="516" t="s">
        <v>126</v>
      </c>
      <c r="J13" s="517"/>
      <c r="K13" s="126" t="s">
        <v>96</v>
      </c>
      <c r="L13" s="62" t="s">
        <v>92</v>
      </c>
    </row>
    <row r="14" spans="1:14" ht="2.4" customHeight="1" x14ac:dyDescent="0.45">
      <c r="B14" s="31"/>
      <c r="C14" s="28"/>
      <c r="D14" s="28"/>
      <c r="E14" s="28"/>
      <c r="F14" s="28"/>
      <c r="G14" s="87"/>
      <c r="H14" s="124"/>
      <c r="I14" s="111"/>
      <c r="J14" s="110"/>
      <c r="K14" s="127"/>
      <c r="L14" s="84"/>
    </row>
    <row r="15" spans="1:14" ht="13.2" customHeight="1" x14ac:dyDescent="0.45">
      <c r="B15" s="31" t="s">
        <v>56</v>
      </c>
      <c r="C15" s="28"/>
      <c r="D15" s="28"/>
      <c r="E15" s="28"/>
      <c r="F15" s="28"/>
      <c r="G15" s="87"/>
      <c r="H15" s="124"/>
      <c r="I15" s="88"/>
      <c r="J15" s="110"/>
      <c r="K15" s="127"/>
      <c r="L15" s="84"/>
    </row>
    <row r="16" spans="1:14" x14ac:dyDescent="0.45">
      <c r="B16" s="31"/>
      <c r="C16" s="28" t="s">
        <v>93</v>
      </c>
      <c r="D16" s="28"/>
      <c r="E16" s="28"/>
      <c r="F16" s="28"/>
      <c r="G16" s="87"/>
      <c r="H16" s="124"/>
      <c r="I16" s="88"/>
      <c r="J16" s="110"/>
      <c r="K16" s="127"/>
      <c r="L16" s="84"/>
    </row>
    <row r="17" spans="2:12" ht="13.2" customHeight="1" x14ac:dyDescent="0.45">
      <c r="B17" s="31"/>
      <c r="C17" s="39"/>
      <c r="D17" s="512" t="s">
        <v>94</v>
      </c>
      <c r="E17" s="512"/>
      <c r="F17" s="513"/>
      <c r="G17" s="89" t="str">
        <f>収支予算書!G17</f>
        <v/>
      </c>
      <c r="H17" s="140" t="str">
        <f>収支予算書!J17</f>
        <v/>
      </c>
      <c r="I17" s="524" t="str">
        <f>IF(実績入力フォーム!B42="","",実績入力フォーム!B42)</f>
        <v/>
      </c>
      <c r="J17" s="525"/>
      <c r="K17" s="128" t="str">
        <f>IF(実績入力フォーム!B43="","", 実績入力フォーム!B43)</f>
        <v/>
      </c>
      <c r="L17" s="146" t="str">
        <f>実績入力フォーム!B44&amp;""</f>
        <v/>
      </c>
    </row>
    <row r="18" spans="2:12" ht="13.2" customHeight="1" x14ac:dyDescent="0.45">
      <c r="B18" s="31"/>
      <c r="C18" s="28"/>
      <c r="D18" s="28"/>
      <c r="E18" s="28"/>
      <c r="F18" s="28"/>
      <c r="G18" s="87" t="str">
        <f>収支予算書!G18</f>
        <v/>
      </c>
      <c r="H18" s="124" t="str">
        <f>収支予算書!J18</f>
        <v/>
      </c>
      <c r="I18" s="526" t="str">
        <f>IF(実績入力フォーム!B45="","",実績入力フォーム!B45)</f>
        <v/>
      </c>
      <c r="J18" s="527"/>
      <c r="K18" s="127" t="str">
        <f>IF(実績入力フォーム!B46="","",実績入力フォーム!B46)</f>
        <v/>
      </c>
      <c r="L18" s="147" t="str">
        <f>実績入力フォーム!B47&amp;""</f>
        <v/>
      </c>
    </row>
    <row r="19" spans="2:12" ht="13.2" customHeight="1" x14ac:dyDescent="0.45">
      <c r="B19" s="31"/>
      <c r="C19" s="28"/>
      <c r="D19" s="28"/>
      <c r="E19" s="28"/>
      <c r="F19" s="28"/>
      <c r="G19" s="87" t="str">
        <f>収支予算書!G19</f>
        <v/>
      </c>
      <c r="H19" s="124" t="str">
        <f>収支予算書!J19</f>
        <v/>
      </c>
      <c r="I19" s="526" t="str">
        <f>IF(実績入力フォーム!B48="","",実績入力フォーム!B48)</f>
        <v/>
      </c>
      <c r="J19" s="527"/>
      <c r="K19" s="127" t="str">
        <f>IF(実績入力フォーム!B49="","",実績入力フォーム!B49)</f>
        <v/>
      </c>
      <c r="L19" s="147" t="str">
        <f>実績入力フォーム!B50&amp;""</f>
        <v/>
      </c>
    </row>
    <row r="20" spans="2:12" ht="13.2" customHeight="1" x14ac:dyDescent="0.45">
      <c r="B20" s="31"/>
      <c r="C20" s="28"/>
      <c r="D20" s="28"/>
      <c r="E20" s="28"/>
      <c r="F20" s="28"/>
      <c r="G20" s="90" t="str">
        <f>収支予算書!G20</f>
        <v/>
      </c>
      <c r="H20" s="141" t="str">
        <f>収支予算書!J20</f>
        <v/>
      </c>
      <c r="I20" s="528" t="str">
        <f>IF(実績入力フォーム!B51="","",実績入力フォーム!B51)</f>
        <v/>
      </c>
      <c r="J20" s="529"/>
      <c r="K20" s="129" t="str">
        <f>IF(実績入力フォーム!B52="","",実績入力フォーム!B52)</f>
        <v/>
      </c>
      <c r="L20" s="148" t="str">
        <f>実績入力フォーム!B53&amp;""</f>
        <v/>
      </c>
    </row>
    <row r="21" spans="2:12" ht="13.2" customHeight="1" x14ac:dyDescent="0.45">
      <c r="B21" s="31"/>
      <c r="C21" s="28"/>
      <c r="D21" s="512" t="s">
        <v>303</v>
      </c>
      <c r="E21" s="512"/>
      <c r="F21" s="513"/>
      <c r="G21" s="89" t="str">
        <f>収支予算書!G21</f>
        <v/>
      </c>
      <c r="H21" s="140" t="str">
        <f>収支予算書!J21</f>
        <v/>
      </c>
      <c r="I21" s="524" t="str">
        <f>IF(実績入力フォーム!B72="","",実績入力フォーム!B72)</f>
        <v/>
      </c>
      <c r="J21" s="525"/>
      <c r="K21" s="128" t="str">
        <f>IF(実績入力フォーム!B73="","", 実績入力フォーム!B73)</f>
        <v/>
      </c>
      <c r="L21" s="146" t="str">
        <f>実績入力フォーム!B74&amp;""</f>
        <v/>
      </c>
    </row>
    <row r="22" spans="2:12" ht="13.2" customHeight="1" x14ac:dyDescent="0.45">
      <c r="B22" s="31"/>
      <c r="C22" s="28"/>
      <c r="D22" s="28"/>
      <c r="E22" s="28"/>
      <c r="F22" s="28"/>
      <c r="G22" s="87" t="str">
        <f>収支予算書!G22</f>
        <v/>
      </c>
      <c r="H22" s="124" t="str">
        <f>収支予算書!J22</f>
        <v/>
      </c>
      <c r="I22" s="526" t="str">
        <f>IF(実績入力フォーム!B75="","",実績入力フォーム!B75)</f>
        <v/>
      </c>
      <c r="J22" s="527"/>
      <c r="K22" s="127" t="str">
        <f>IF(実績入力フォーム!B76="","", 実績入力フォーム!B76)</f>
        <v/>
      </c>
      <c r="L22" s="147" t="str">
        <f>実績入力フォーム!B77&amp;""</f>
        <v/>
      </c>
    </row>
    <row r="23" spans="2:12" ht="13.2" customHeight="1" x14ac:dyDescent="0.45">
      <c r="B23" s="31"/>
      <c r="C23" s="28"/>
      <c r="D23" s="28"/>
      <c r="E23" s="28"/>
      <c r="F23" s="28"/>
      <c r="G23" s="87" t="str">
        <f>収支予算書!G23</f>
        <v/>
      </c>
      <c r="H23" s="124" t="str">
        <f>収支予算書!J23</f>
        <v/>
      </c>
      <c r="I23" s="526" t="str">
        <f>IF(実績入力フォーム!B78="","",実績入力フォーム!B78)</f>
        <v/>
      </c>
      <c r="J23" s="527"/>
      <c r="K23" s="127" t="str">
        <f>IF(実績入力フォーム!B79="","", 実績入力フォーム!B79)</f>
        <v/>
      </c>
      <c r="L23" s="147" t="str">
        <f>実績入力フォーム!B80&amp;""</f>
        <v/>
      </c>
    </row>
    <row r="24" spans="2:12" ht="13.2" customHeight="1" x14ac:dyDescent="0.45">
      <c r="B24" s="31"/>
      <c r="C24" s="28"/>
      <c r="D24" s="28"/>
      <c r="E24" s="28"/>
      <c r="F24" s="28"/>
      <c r="G24" s="87" t="str">
        <f>収支予算書!G24</f>
        <v/>
      </c>
      <c r="H24" s="124" t="str">
        <f>収支予算書!J24</f>
        <v/>
      </c>
      <c r="I24" s="526" t="str">
        <f>IF(実績入力フォーム!B81="","",実績入力フォーム!B81)</f>
        <v/>
      </c>
      <c r="J24" s="527"/>
      <c r="K24" s="127" t="str">
        <f>IF(実績入力フォーム!B82="","", 実績入力フォーム!B82)</f>
        <v/>
      </c>
      <c r="L24" s="147" t="str">
        <f>実績入力フォーム!B83&amp;""</f>
        <v/>
      </c>
    </row>
    <row r="25" spans="2:12" ht="13.2" customHeight="1" x14ac:dyDescent="0.45">
      <c r="B25" s="31"/>
      <c r="C25" s="28"/>
      <c r="D25" s="28"/>
      <c r="E25" s="28"/>
      <c r="F25" s="28"/>
      <c r="G25" s="87" t="str">
        <f>収支予算書!G25</f>
        <v/>
      </c>
      <c r="H25" s="124" t="str">
        <f>収支予算書!J25</f>
        <v/>
      </c>
      <c r="I25" s="526" t="str">
        <f>IF(実績入力フォーム!B84="","",実績入力フォーム!B84)</f>
        <v/>
      </c>
      <c r="J25" s="527"/>
      <c r="K25" s="127" t="str">
        <f>IF(実績入力フォーム!B85="","", 実績入力フォーム!B85)</f>
        <v/>
      </c>
      <c r="L25" s="147" t="str">
        <f>実績入力フォーム!B86&amp;""</f>
        <v/>
      </c>
    </row>
    <row r="26" spans="2:12" ht="13.2" customHeight="1" x14ac:dyDescent="0.45">
      <c r="B26" s="31"/>
      <c r="C26" s="28"/>
      <c r="D26" s="28"/>
      <c r="E26" s="28"/>
      <c r="F26" s="28"/>
      <c r="G26" s="87" t="str">
        <f>収支予算書!G26</f>
        <v/>
      </c>
      <c r="H26" s="124" t="str">
        <f>収支予算書!J26</f>
        <v/>
      </c>
      <c r="I26" s="526" t="str">
        <f>IF(実績入力フォーム!B87="","",実績入力フォーム!B87)</f>
        <v/>
      </c>
      <c r="J26" s="527"/>
      <c r="K26" s="127" t="str">
        <f>IF(実績入力フォーム!B88="","", 実績入力フォーム!B88)</f>
        <v/>
      </c>
      <c r="L26" s="147" t="str">
        <f>実績入力フォーム!B89&amp;""</f>
        <v/>
      </c>
    </row>
    <row r="27" spans="2:12" ht="13.2" customHeight="1" x14ac:dyDescent="0.45">
      <c r="B27" s="31"/>
      <c r="C27" s="28"/>
      <c r="D27" s="28"/>
      <c r="E27" s="28"/>
      <c r="F27" s="28"/>
      <c r="G27" s="87" t="str">
        <f>収支予算書!G27</f>
        <v/>
      </c>
      <c r="H27" s="124" t="str">
        <f>収支予算書!J27</f>
        <v/>
      </c>
      <c r="I27" s="526" t="str">
        <f>IF(実績入力フォーム!B90="","",実績入力フォーム!B90)</f>
        <v/>
      </c>
      <c r="J27" s="527"/>
      <c r="K27" s="127" t="str">
        <f>IF(実績入力フォーム!B91="","", 実績入力フォーム!B91)</f>
        <v/>
      </c>
      <c r="L27" s="147" t="str">
        <f>実績入力フォーム!B92&amp;""</f>
        <v/>
      </c>
    </row>
    <row r="28" spans="2:12" ht="13.2" customHeight="1" x14ac:dyDescent="0.45">
      <c r="B28" s="31"/>
      <c r="C28" s="28"/>
      <c r="D28" s="28"/>
      <c r="E28" s="28"/>
      <c r="F28" s="28"/>
      <c r="G28" s="87" t="str">
        <f>収支予算書!G28</f>
        <v/>
      </c>
      <c r="H28" s="124" t="str">
        <f>収支予算書!J28</f>
        <v/>
      </c>
      <c r="I28" s="526" t="str">
        <f>IF(実績入力フォーム!B93="","",実績入力フォーム!B93)</f>
        <v/>
      </c>
      <c r="J28" s="527"/>
      <c r="K28" s="127" t="str">
        <f>IF(実績入力フォーム!B94="","", 実績入力フォーム!B94)</f>
        <v/>
      </c>
      <c r="L28" s="147" t="str">
        <f>実績入力フォーム!B95&amp;""</f>
        <v/>
      </c>
    </row>
    <row r="29" spans="2:12" ht="13.2" customHeight="1" x14ac:dyDescent="0.45">
      <c r="B29" s="31"/>
      <c r="C29" s="28"/>
      <c r="D29" s="28"/>
      <c r="E29" s="28"/>
      <c r="F29" s="28"/>
      <c r="G29" s="87" t="str">
        <f>収支予算書!G29</f>
        <v/>
      </c>
      <c r="H29" s="124" t="str">
        <f>収支予算書!J29</f>
        <v/>
      </c>
      <c r="I29" s="526" t="str">
        <f>IF(実績入力フォーム!B96="","",実績入力フォーム!B96)</f>
        <v/>
      </c>
      <c r="J29" s="527"/>
      <c r="K29" s="127" t="str">
        <f>IF(実績入力フォーム!B97="","", 実績入力フォーム!B97)</f>
        <v/>
      </c>
      <c r="L29" s="147" t="str">
        <f>実績入力フォーム!B98&amp;""</f>
        <v/>
      </c>
    </row>
    <row r="30" spans="2:12" ht="13.2" customHeight="1" x14ac:dyDescent="0.45">
      <c r="B30" s="31"/>
      <c r="C30" s="28"/>
      <c r="D30" s="28"/>
      <c r="E30" s="28"/>
      <c r="F30" s="28"/>
      <c r="G30" s="87" t="str">
        <f>収支予算書!G30</f>
        <v/>
      </c>
      <c r="H30" s="124" t="str">
        <f>収支予算書!J30</f>
        <v/>
      </c>
      <c r="I30" s="526" t="str">
        <f>IF(実績入力フォーム!B99="","",実績入力フォーム!B99)</f>
        <v/>
      </c>
      <c r="J30" s="527"/>
      <c r="K30" s="127" t="str">
        <f>IF(実績入力フォーム!B100="","", 実績入力フォーム!B100)</f>
        <v/>
      </c>
      <c r="L30" s="147" t="str">
        <f>実績入力フォーム!B101&amp;""</f>
        <v/>
      </c>
    </row>
    <row r="31" spans="2:12" ht="13.2" customHeight="1" x14ac:dyDescent="0.45">
      <c r="B31" s="31"/>
      <c r="C31" s="28"/>
      <c r="D31" s="28"/>
      <c r="E31" s="28"/>
      <c r="F31" s="28"/>
      <c r="G31" s="87" t="str">
        <f>収支予算書!G31</f>
        <v/>
      </c>
      <c r="H31" s="124" t="str">
        <f>収支予算書!J31</f>
        <v/>
      </c>
      <c r="I31" s="526" t="str">
        <f>IF(実績入力フォーム!B102="","",実績入力フォーム!B102)</f>
        <v/>
      </c>
      <c r="J31" s="527"/>
      <c r="K31" s="127" t="str">
        <f>IF(実績入力フォーム!B103="","", 実績入力フォーム!B103)</f>
        <v/>
      </c>
      <c r="L31" s="147" t="str">
        <f>実績入力フォーム!B104&amp;""</f>
        <v/>
      </c>
    </row>
    <row r="32" spans="2:12" ht="13.2" customHeight="1" x14ac:dyDescent="0.45">
      <c r="B32" s="31"/>
      <c r="C32" s="28"/>
      <c r="D32" s="28"/>
      <c r="E32" s="28"/>
      <c r="F32" s="28"/>
      <c r="G32" s="87" t="str">
        <f>収支予算書!G32</f>
        <v/>
      </c>
      <c r="H32" s="124" t="str">
        <f>収支予算書!J32</f>
        <v/>
      </c>
      <c r="I32" s="526" t="str">
        <f>IF(実績入力フォーム!B105="","",実績入力フォーム!B105)</f>
        <v/>
      </c>
      <c r="J32" s="527"/>
      <c r="K32" s="127" t="str">
        <f>IF(実績入力フォーム!B106="","", 実績入力フォーム!B106)</f>
        <v/>
      </c>
      <c r="L32" s="147" t="str">
        <f>実績入力フォーム!B107&amp;""</f>
        <v/>
      </c>
    </row>
    <row r="33" spans="2:12" ht="13.2" customHeight="1" x14ac:dyDescent="0.45">
      <c r="B33" s="31"/>
      <c r="C33" s="28"/>
      <c r="D33" s="28"/>
      <c r="E33" s="28"/>
      <c r="F33" s="28"/>
      <c r="G33" s="87" t="str">
        <f>収支予算書!G33</f>
        <v/>
      </c>
      <c r="H33" s="124" t="str">
        <f>収支予算書!J33</f>
        <v/>
      </c>
      <c r="I33" s="526" t="str">
        <f>IF(実績入力フォーム!B108="","",実績入力フォーム!B108)</f>
        <v/>
      </c>
      <c r="J33" s="527"/>
      <c r="K33" s="127" t="str">
        <f>IF(実績入力フォーム!B109="","", 実績入力フォーム!B109)</f>
        <v/>
      </c>
      <c r="L33" s="147" t="str">
        <f>実績入力フォーム!B110&amp;""</f>
        <v/>
      </c>
    </row>
    <row r="34" spans="2:12" ht="13.2" customHeight="1" x14ac:dyDescent="0.45">
      <c r="B34" s="31"/>
      <c r="C34" s="28"/>
      <c r="D34" s="28"/>
      <c r="E34" s="28"/>
      <c r="F34" s="28"/>
      <c r="G34" s="87" t="str">
        <f>収支予算書!G34</f>
        <v/>
      </c>
      <c r="H34" s="124" t="str">
        <f>収支予算書!J34</f>
        <v/>
      </c>
      <c r="I34" s="526" t="str">
        <f>IF(実績入力フォーム!B111="","",実績入力フォーム!B111)</f>
        <v/>
      </c>
      <c r="J34" s="527"/>
      <c r="K34" s="127" t="str">
        <f>IF(実績入力フォーム!B112="","", 実績入力フォーム!B112)</f>
        <v/>
      </c>
      <c r="L34" s="147" t="str">
        <f>実績入力フォーム!B113&amp;""</f>
        <v/>
      </c>
    </row>
    <row r="35" spans="2:12" ht="13.2" customHeight="1" x14ac:dyDescent="0.45">
      <c r="B35" s="31"/>
      <c r="C35" s="28"/>
      <c r="D35" s="28"/>
      <c r="E35" s="28"/>
      <c r="F35" s="28"/>
      <c r="G35" s="87" t="str">
        <f>収支予算書!G35</f>
        <v/>
      </c>
      <c r="H35" s="124" t="str">
        <f>収支予算書!J35</f>
        <v/>
      </c>
      <c r="I35" s="526" t="str">
        <f>IF(実績入力フォーム!B114="","",実績入力フォーム!B114)</f>
        <v/>
      </c>
      <c r="J35" s="527"/>
      <c r="K35" s="127" t="str">
        <f>IF(実績入力フォーム!B115="","", 実績入力フォーム!B115)</f>
        <v/>
      </c>
      <c r="L35" s="147" t="str">
        <f>実績入力フォーム!B116&amp;""</f>
        <v/>
      </c>
    </row>
    <row r="36" spans="2:12" ht="13.2" customHeight="1" x14ac:dyDescent="0.45">
      <c r="B36" s="31"/>
      <c r="C36" s="28"/>
      <c r="D36" s="28"/>
      <c r="E36" s="28"/>
      <c r="F36" s="28"/>
      <c r="G36" s="87" t="str">
        <f>収支予算書!G36</f>
        <v/>
      </c>
      <c r="H36" s="124" t="str">
        <f>収支予算書!J36</f>
        <v/>
      </c>
      <c r="I36" s="526" t="str">
        <f>IF(実績入力フォーム!B117="","",実績入力フォーム!B117)</f>
        <v/>
      </c>
      <c r="J36" s="527"/>
      <c r="K36" s="127" t="str">
        <f>IF(実績入力フォーム!B118="","", 実績入力フォーム!B118)</f>
        <v/>
      </c>
      <c r="L36" s="147" t="str">
        <f>実績入力フォーム!B119&amp;""</f>
        <v/>
      </c>
    </row>
    <row r="37" spans="2:12" ht="13.2" customHeight="1" x14ac:dyDescent="0.45">
      <c r="B37" s="31"/>
      <c r="C37" s="28"/>
      <c r="D37" s="28"/>
      <c r="E37" s="28"/>
      <c r="F37" s="28"/>
      <c r="G37" s="90" t="str">
        <f>収支予算書!G37</f>
        <v/>
      </c>
      <c r="H37" s="141" t="str">
        <f>収支予算書!J37</f>
        <v/>
      </c>
      <c r="I37" s="528" t="str">
        <f>IF(実績入力フォーム!B120="","",実績入力フォーム!B120)</f>
        <v/>
      </c>
      <c r="J37" s="529"/>
      <c r="K37" s="129" t="str">
        <f>IF(実績入力フォーム!B121="","", 実績入力フォーム!B121)</f>
        <v/>
      </c>
      <c r="L37" s="148" t="str">
        <f>実績入力フォーム!B122&amp;""</f>
        <v/>
      </c>
    </row>
    <row r="38" spans="2:12" ht="13.2" customHeight="1" x14ac:dyDescent="0.45">
      <c r="B38" s="31"/>
      <c r="C38" s="28"/>
      <c r="D38" s="512" t="s">
        <v>304</v>
      </c>
      <c r="E38" s="512"/>
      <c r="F38" s="513"/>
      <c r="G38" s="87" t="str">
        <f>収支予算書!G38</f>
        <v/>
      </c>
      <c r="H38" s="124" t="str">
        <f>収支予算書!J38</f>
        <v/>
      </c>
      <c r="I38" s="524" t="str">
        <f>IF(実績入力フォーム!B128="","",実績入力フォーム!B128)</f>
        <v/>
      </c>
      <c r="J38" s="525"/>
      <c r="K38" s="127" t="str">
        <f>IF(実績入力フォーム!B129="","", 実績入力フォーム!B129)</f>
        <v/>
      </c>
      <c r="L38" s="147" t="str">
        <f>実績入力フォーム!B130&amp;""</f>
        <v/>
      </c>
    </row>
    <row r="39" spans="2:12" ht="13.2" customHeight="1" x14ac:dyDescent="0.45">
      <c r="B39" s="31"/>
      <c r="C39" s="28"/>
      <c r="D39" s="28"/>
      <c r="E39" s="28"/>
      <c r="F39" s="28"/>
      <c r="G39" s="87" t="str">
        <f>収支予算書!G39</f>
        <v/>
      </c>
      <c r="H39" s="124" t="str">
        <f>収支予算書!J39</f>
        <v/>
      </c>
      <c r="I39" s="526" t="str">
        <f>IF(実績入力フォーム!B131="","",実績入力フォーム!B131)</f>
        <v/>
      </c>
      <c r="J39" s="527"/>
      <c r="K39" s="127" t="str">
        <f>IF(実績入力フォーム!B132="","", 実績入力フォーム!B132)</f>
        <v/>
      </c>
      <c r="L39" s="147" t="str">
        <f>実績入力フォーム!B133&amp;""</f>
        <v/>
      </c>
    </row>
    <row r="40" spans="2:12" ht="13.2" customHeight="1" x14ac:dyDescent="0.45">
      <c r="B40" s="31"/>
      <c r="C40" s="28"/>
      <c r="D40" s="28"/>
      <c r="E40" s="28"/>
      <c r="F40" s="28"/>
      <c r="G40" s="87" t="str">
        <f>収支予算書!G40</f>
        <v/>
      </c>
      <c r="H40" s="124" t="str">
        <f>収支予算書!J40</f>
        <v/>
      </c>
      <c r="I40" s="526" t="str">
        <f>IF(実績入力フォーム!B134="","",実績入力フォーム!B134)</f>
        <v/>
      </c>
      <c r="J40" s="527"/>
      <c r="K40" s="127" t="str">
        <f>IF(実績入力フォーム!B135="","", 実績入力フォーム!B135)</f>
        <v/>
      </c>
      <c r="L40" s="147" t="str">
        <f>実績入力フォーム!B136&amp;""</f>
        <v/>
      </c>
    </row>
    <row r="41" spans="2:12" ht="13.2" customHeight="1" x14ac:dyDescent="0.45">
      <c r="B41" s="31"/>
      <c r="C41" s="28"/>
      <c r="D41" s="28"/>
      <c r="E41" s="28"/>
      <c r="F41" s="28"/>
      <c r="G41" s="87" t="str">
        <f>収支予算書!G41</f>
        <v/>
      </c>
      <c r="H41" s="124" t="str">
        <f>収支予算書!J41</f>
        <v/>
      </c>
      <c r="I41" s="528" t="str">
        <f>IF(実績入力フォーム!B137="","",実績入力フォーム!B137)</f>
        <v/>
      </c>
      <c r="J41" s="529"/>
      <c r="K41" s="127" t="str">
        <f>IF(実績入力フォーム!B138="","", 実績入力フォーム!B138)</f>
        <v/>
      </c>
      <c r="L41" s="147" t="str">
        <f>実績入力フォーム!B139&amp;""</f>
        <v/>
      </c>
    </row>
    <row r="42" spans="2:12" ht="13.2" customHeight="1" x14ac:dyDescent="0.45">
      <c r="B42" s="31"/>
      <c r="C42" s="28"/>
      <c r="D42" s="512" t="s">
        <v>305</v>
      </c>
      <c r="E42" s="512"/>
      <c r="F42" s="513"/>
      <c r="G42" s="89" t="str">
        <f>収支予算書!G42</f>
        <v/>
      </c>
      <c r="H42" s="140" t="str">
        <f>収支予算書!J42</f>
        <v/>
      </c>
      <c r="I42" s="524" t="str">
        <f>IF(実績入力フォーム!B145="","",実績入力フォーム!B145)</f>
        <v/>
      </c>
      <c r="J42" s="525"/>
      <c r="K42" s="128" t="str">
        <f>IF(実績入力フォーム!B146="","", 実績入力フォーム!B146)</f>
        <v/>
      </c>
      <c r="L42" s="146" t="str">
        <f>実績入力フォーム!B147&amp;""</f>
        <v/>
      </c>
    </row>
    <row r="43" spans="2:12" ht="13.2" customHeight="1" x14ac:dyDescent="0.45">
      <c r="B43" s="31"/>
      <c r="C43" s="28"/>
      <c r="D43" s="28"/>
      <c r="E43" s="28"/>
      <c r="F43" s="28"/>
      <c r="G43" s="87" t="str">
        <f>収支予算書!G43</f>
        <v/>
      </c>
      <c r="H43" s="124" t="str">
        <f>収支予算書!J43</f>
        <v/>
      </c>
      <c r="I43" s="526" t="str">
        <f>IF(実績入力フォーム!B148="","",実績入力フォーム!B148)</f>
        <v/>
      </c>
      <c r="J43" s="527"/>
      <c r="K43" s="127" t="str">
        <f>IF(実績入力フォーム!B149="","", 実績入力フォーム!B149)</f>
        <v/>
      </c>
      <c r="L43" s="147" t="str">
        <f>実績入力フォーム!B150&amp;""</f>
        <v/>
      </c>
    </row>
    <row r="44" spans="2:12" ht="13.2" customHeight="1" x14ac:dyDescent="0.45">
      <c r="B44" s="31"/>
      <c r="C44" s="28"/>
      <c r="D44" s="28"/>
      <c r="E44" s="28"/>
      <c r="F44" s="28"/>
      <c r="G44" s="87" t="str">
        <f>収支予算書!G44</f>
        <v/>
      </c>
      <c r="H44" s="124" t="str">
        <f>収支予算書!J44</f>
        <v/>
      </c>
      <c r="I44" s="526" t="str">
        <f>IF(実績入力フォーム!B151="","",実績入力フォーム!B151)</f>
        <v/>
      </c>
      <c r="J44" s="527"/>
      <c r="K44" s="127" t="str">
        <f>IF(実績入力フォーム!B152="","", 実績入力フォーム!B152)</f>
        <v/>
      </c>
      <c r="L44" s="147" t="str">
        <f>実績入力フォーム!B153&amp;""</f>
        <v/>
      </c>
    </row>
    <row r="45" spans="2:12" ht="13.2" customHeight="1" x14ac:dyDescent="0.45">
      <c r="B45" s="31"/>
      <c r="C45" s="28"/>
      <c r="D45" s="28"/>
      <c r="E45" s="28"/>
      <c r="F45" s="28"/>
      <c r="G45" s="90" t="str">
        <f>収支予算書!G45</f>
        <v/>
      </c>
      <c r="H45" s="141" t="str">
        <f>収支予算書!J45</f>
        <v/>
      </c>
      <c r="I45" s="528" t="str">
        <f>IF(実績入力フォーム!B154="","",実績入力フォーム!B154)</f>
        <v/>
      </c>
      <c r="J45" s="529"/>
      <c r="K45" s="129" t="str">
        <f>IF(実績入力フォーム!B155="","", 実績入力フォーム!B155)</f>
        <v/>
      </c>
      <c r="L45" s="148" t="str">
        <f>実績入力フォーム!B156&amp;""</f>
        <v/>
      </c>
    </row>
    <row r="46" spans="2:12" ht="13.2" customHeight="1" x14ac:dyDescent="0.45">
      <c r="B46" s="31"/>
      <c r="C46" s="28"/>
      <c r="D46" s="512" t="s">
        <v>309</v>
      </c>
      <c r="E46" s="512"/>
      <c r="F46" s="513"/>
      <c r="G46" s="89" t="str">
        <f>収支予算書!G46</f>
        <v/>
      </c>
      <c r="H46" s="140" t="str">
        <f>収支予算書!J46</f>
        <v/>
      </c>
      <c r="I46" s="524" t="str">
        <f>IF(実績入力フォーム!B162="","",実績入力フォーム!B162)</f>
        <v/>
      </c>
      <c r="J46" s="525"/>
      <c r="K46" s="128" t="str">
        <f>IF(実績入力フォーム!B163="","", 実績入力フォーム!B163)</f>
        <v/>
      </c>
      <c r="L46" s="146" t="str">
        <f>実績入力フォーム!B164&amp;""</f>
        <v/>
      </c>
    </row>
    <row r="47" spans="2:12" ht="13.2" customHeight="1" x14ac:dyDescent="0.45">
      <c r="B47" s="31"/>
      <c r="C47" s="28"/>
      <c r="D47" s="28"/>
      <c r="E47" s="28" t="s">
        <v>122</v>
      </c>
      <c r="F47" s="28"/>
      <c r="G47" s="87" t="str">
        <f>収支予算書!G47</f>
        <v/>
      </c>
      <c r="H47" s="124" t="str">
        <f>収支予算書!J47</f>
        <v/>
      </c>
      <c r="I47" s="526" t="str">
        <f>IF(実績入力フォーム!B165="","",実績入力フォーム!B165)</f>
        <v/>
      </c>
      <c r="J47" s="527"/>
      <c r="K47" s="127" t="str">
        <f>IF(実績入力フォーム!B166="","", 実績入力フォーム!B166)</f>
        <v/>
      </c>
      <c r="L47" s="147" t="str">
        <f>実績入力フォーム!B167&amp;""</f>
        <v/>
      </c>
    </row>
    <row r="48" spans="2:12" ht="13.2" customHeight="1" x14ac:dyDescent="0.45">
      <c r="B48" s="31"/>
      <c r="C48" s="28"/>
      <c r="D48" s="28"/>
      <c r="E48" s="28"/>
      <c r="F48" s="28"/>
      <c r="G48" s="87" t="str">
        <f>収支予算書!G48</f>
        <v/>
      </c>
      <c r="H48" s="124" t="str">
        <f>収支予算書!J48</f>
        <v/>
      </c>
      <c r="I48" s="526" t="str">
        <f>IF(実績入力フォーム!B168="","",実績入力フォーム!B168)</f>
        <v/>
      </c>
      <c r="J48" s="527"/>
      <c r="K48" s="127" t="str">
        <f>IF(実績入力フォーム!B169="","", 実績入力フォーム!B169)</f>
        <v/>
      </c>
      <c r="L48" s="147" t="str">
        <f>実績入力フォーム!B170&amp;""</f>
        <v/>
      </c>
    </row>
    <row r="49" spans="2:12" ht="13.2" customHeight="1" x14ac:dyDescent="0.45">
      <c r="B49" s="31"/>
      <c r="C49" s="28"/>
      <c r="D49" s="28"/>
      <c r="E49" s="28"/>
      <c r="F49" s="28"/>
      <c r="G49" s="90" t="str">
        <f>収支予算書!G49</f>
        <v/>
      </c>
      <c r="H49" s="141" t="str">
        <f>収支予算書!J49</f>
        <v/>
      </c>
      <c r="I49" s="528" t="str">
        <f>IF(実績入力フォーム!B171="","",実績入力フォーム!B171)</f>
        <v/>
      </c>
      <c r="J49" s="529"/>
      <c r="K49" s="129" t="str">
        <f>IF(実績入力フォーム!B172="","", 実績入力フォーム!B172)</f>
        <v/>
      </c>
      <c r="L49" s="148" t="str">
        <f>実績入力フォーム!B173&amp;""</f>
        <v/>
      </c>
    </row>
    <row r="50" spans="2:12" ht="13.2" customHeight="1" x14ac:dyDescent="0.45">
      <c r="B50" s="31"/>
      <c r="C50" s="42"/>
      <c r="D50" s="42"/>
      <c r="E50" s="42"/>
      <c r="F50" s="19"/>
      <c r="G50" s="65" t="s">
        <v>69</v>
      </c>
      <c r="H50" s="142" t="str">
        <f>IF(SUM(H17:H49)&lt;&gt;0,SUM(H17:H49),"")</f>
        <v/>
      </c>
      <c r="I50" s="536"/>
      <c r="J50" s="537"/>
      <c r="K50" s="130" t="str">
        <f>IF(SUM(K17:K49)&lt;&gt;0,SUM(K17:K49),"")</f>
        <v/>
      </c>
      <c r="L50" s="149"/>
    </row>
    <row r="51" spans="2:12" ht="13.2" customHeight="1" x14ac:dyDescent="0.45">
      <c r="B51" s="31"/>
      <c r="C51" s="510" t="s">
        <v>121</v>
      </c>
      <c r="D51" s="510"/>
      <c r="E51" s="510"/>
      <c r="F51" s="511"/>
      <c r="G51" s="91" t="str">
        <f>収支予算書!G51</f>
        <v/>
      </c>
      <c r="H51" s="127" t="str">
        <f>収支予算書!J51</f>
        <v/>
      </c>
      <c r="I51" s="530" t="str">
        <f>IF(実績入力フォーム!B179="","",実績入力フォーム!B179)</f>
        <v/>
      </c>
      <c r="J51" s="531"/>
      <c r="K51" s="127" t="str">
        <f>IF(実績入力フォーム!B180="","", 実績入力フォーム!B180)</f>
        <v/>
      </c>
      <c r="L51" s="150"/>
    </row>
    <row r="52" spans="2:12" ht="13.2" customHeight="1" x14ac:dyDescent="0.45">
      <c r="B52" s="31"/>
      <c r="C52" s="28"/>
      <c r="D52" s="510" t="s">
        <v>71</v>
      </c>
      <c r="E52" s="510"/>
      <c r="F52" s="511"/>
      <c r="G52" s="92" t="str">
        <f>収支予算書!G52</f>
        <v/>
      </c>
      <c r="H52" s="127" t="str">
        <f>収支予算書!J52</f>
        <v/>
      </c>
      <c r="I52" s="532" t="str">
        <f>IF(実績入力フォーム!B181="","",実績入力フォーム!B181)</f>
        <v/>
      </c>
      <c r="J52" s="533"/>
      <c r="K52" s="127" t="str">
        <f>IF(実績入力フォーム!B182="","", 実績入力フォーム!B182)</f>
        <v/>
      </c>
      <c r="L52" s="150"/>
    </row>
    <row r="53" spans="2:12" ht="13.2" customHeight="1" x14ac:dyDescent="0.45">
      <c r="B53" s="31"/>
      <c r="C53" s="28"/>
      <c r="D53" s="28"/>
      <c r="E53" s="28"/>
      <c r="F53" s="28"/>
      <c r="G53" s="92" t="str">
        <f>収支予算書!G53</f>
        <v/>
      </c>
      <c r="H53" s="127" t="str">
        <f>収支予算書!J53</f>
        <v/>
      </c>
      <c r="I53" s="532" t="str">
        <f>IF(実績入力フォーム!B183="","",実績入力フォーム!B183)</f>
        <v/>
      </c>
      <c r="J53" s="533"/>
      <c r="K53" s="127" t="str">
        <f>IF(実績入力フォーム!B184="","", 実績入力フォーム!B184)</f>
        <v/>
      </c>
      <c r="L53" s="150"/>
    </row>
    <row r="54" spans="2:12" ht="13.2" customHeight="1" x14ac:dyDescent="0.45">
      <c r="B54" s="31"/>
      <c r="C54" s="28"/>
      <c r="D54" s="28"/>
      <c r="E54" s="28"/>
      <c r="F54" s="18"/>
      <c r="G54" s="93" t="str">
        <f>収支予算書!G54</f>
        <v/>
      </c>
      <c r="H54" s="143" t="str">
        <f>収支予算書!J54</f>
        <v/>
      </c>
      <c r="I54" s="534" t="str">
        <f>IF(実績入力フォーム!B185="","",実績入力フォーム!B185)</f>
        <v/>
      </c>
      <c r="J54" s="535"/>
      <c r="K54" s="129" t="str">
        <f>IF(実績入力フォーム!B186="","", 実績入力フォーム!B186)</f>
        <v/>
      </c>
      <c r="L54" s="150"/>
    </row>
    <row r="55" spans="2:12" ht="13.2" customHeight="1" x14ac:dyDescent="0.45">
      <c r="B55" s="31"/>
      <c r="C55" s="42"/>
      <c r="D55" s="42"/>
      <c r="E55" s="42"/>
      <c r="F55" s="22"/>
      <c r="G55" s="65" t="s">
        <v>72</v>
      </c>
      <c r="H55" s="142" t="str">
        <f>IF(入力フォーム!B250="いいえ",0,IF(入力フォーム!B250="はい",SUM(H51:H54),""))</f>
        <v/>
      </c>
      <c r="I55" s="536"/>
      <c r="J55" s="537"/>
      <c r="K55" s="130" t="str">
        <f>IF(実績入力フォーム!B174="いいえ",0,IF(実績入力フォーム!B174="はい",SUM(K51:K54),""))</f>
        <v/>
      </c>
      <c r="L55" s="149"/>
    </row>
    <row r="56" spans="2:12" ht="2.4" customHeight="1" x14ac:dyDescent="0.45">
      <c r="B56" s="31"/>
      <c r="C56" s="28"/>
      <c r="D56" s="28"/>
      <c r="E56" s="28"/>
      <c r="F56" s="24"/>
      <c r="G56" s="27"/>
      <c r="H56" s="144"/>
      <c r="I56" s="538"/>
      <c r="J56" s="539"/>
      <c r="K56" s="131"/>
      <c r="L56" s="147"/>
    </row>
    <row r="57" spans="2:12" ht="13.2" customHeight="1" x14ac:dyDescent="0.45">
      <c r="B57" s="31"/>
      <c r="C57" s="94" t="s">
        <v>73</v>
      </c>
      <c r="D57" s="94"/>
      <c r="E57" s="94"/>
      <c r="F57" s="94"/>
      <c r="G57" s="68" t="s">
        <v>74</v>
      </c>
      <c r="H57" s="132" t="str">
        <f>IF(SUM(H50,H55)&lt;&gt;0,SUM(H50,H55),"")</f>
        <v/>
      </c>
      <c r="I57" s="540"/>
      <c r="J57" s="541"/>
      <c r="K57" s="132" t="str">
        <f>IF(SUM(K50,K55)&lt;&gt;0,SUM(K50,K55),"")</f>
        <v/>
      </c>
      <c r="L57" s="147"/>
    </row>
    <row r="58" spans="2:12" ht="2.4" customHeight="1" x14ac:dyDescent="0.45">
      <c r="B58" s="31"/>
      <c r="C58" s="28"/>
      <c r="D58" s="28"/>
      <c r="E58" s="28"/>
      <c r="F58" s="28"/>
      <c r="G58" s="95"/>
      <c r="H58" s="124"/>
      <c r="I58" s="542"/>
      <c r="J58" s="543"/>
      <c r="K58" s="133"/>
      <c r="L58" s="151"/>
    </row>
    <row r="59" spans="2:12" ht="13.2" customHeight="1" x14ac:dyDescent="0.45">
      <c r="B59" s="31"/>
      <c r="C59" s="94" t="s">
        <v>75</v>
      </c>
      <c r="D59" s="94"/>
      <c r="E59" s="94"/>
      <c r="F59" s="94"/>
      <c r="G59" s="96"/>
      <c r="H59" s="145" t="str">
        <f>IFERROR(H12-H57,"")</f>
        <v/>
      </c>
      <c r="I59" s="544"/>
      <c r="J59" s="545"/>
      <c r="K59" s="134" t="str">
        <f>IFERROR(K12-K57,"")</f>
        <v/>
      </c>
      <c r="L59" s="152"/>
    </row>
    <row r="60" spans="2:12" ht="5.4" customHeight="1" thickBot="1" x14ac:dyDescent="0.5">
      <c r="B60" s="66"/>
      <c r="C60" s="67"/>
      <c r="D60" s="67"/>
      <c r="E60" s="67"/>
      <c r="F60" s="67"/>
      <c r="G60" s="67"/>
      <c r="H60" s="67"/>
      <c r="I60" s="67"/>
      <c r="J60" s="67"/>
      <c r="K60" s="119"/>
      <c r="L60" s="153"/>
    </row>
    <row r="61" spans="2:12" ht="14.1" customHeight="1" x14ac:dyDescent="0.45"/>
  </sheetData>
  <mergeCells count="61">
    <mergeCell ref="I8:J8"/>
    <mergeCell ref="I9:J9"/>
    <mergeCell ref="I10:J10"/>
    <mergeCell ref="I11:J11"/>
    <mergeCell ref="I12:J12"/>
    <mergeCell ref="I55:J55"/>
    <mergeCell ref="I56:J56"/>
    <mergeCell ref="I57:J57"/>
    <mergeCell ref="I58:J58"/>
    <mergeCell ref="I59:J59"/>
    <mergeCell ref="I51:J51"/>
    <mergeCell ref="I52:J52"/>
    <mergeCell ref="I53:J53"/>
    <mergeCell ref="I54:J54"/>
    <mergeCell ref="I50:J50"/>
    <mergeCell ref="I45:J45"/>
    <mergeCell ref="I46:J46"/>
    <mergeCell ref="I47:J47"/>
    <mergeCell ref="I48:J48"/>
    <mergeCell ref="I49:J49"/>
    <mergeCell ref="I40:J40"/>
    <mergeCell ref="I41:J41"/>
    <mergeCell ref="I42:J42"/>
    <mergeCell ref="I43:J43"/>
    <mergeCell ref="I44:J44"/>
    <mergeCell ref="I35:J35"/>
    <mergeCell ref="I36:J36"/>
    <mergeCell ref="I37:J37"/>
    <mergeCell ref="I38:J38"/>
    <mergeCell ref="I39:J39"/>
    <mergeCell ref="I30:J30"/>
    <mergeCell ref="I31:J31"/>
    <mergeCell ref="I32:J32"/>
    <mergeCell ref="I33:J33"/>
    <mergeCell ref="I34:J34"/>
    <mergeCell ref="I25:J25"/>
    <mergeCell ref="I26:J26"/>
    <mergeCell ref="I27:J27"/>
    <mergeCell ref="I28:J28"/>
    <mergeCell ref="I29:J29"/>
    <mergeCell ref="I20:J20"/>
    <mergeCell ref="I21:J21"/>
    <mergeCell ref="I22:J22"/>
    <mergeCell ref="I23:J23"/>
    <mergeCell ref="I24:J24"/>
    <mergeCell ref="J3:L3"/>
    <mergeCell ref="C51:F51"/>
    <mergeCell ref="D52:F52"/>
    <mergeCell ref="D21:F21"/>
    <mergeCell ref="D38:F38"/>
    <mergeCell ref="D42:F42"/>
    <mergeCell ref="D46:F46"/>
    <mergeCell ref="I5:J5"/>
    <mergeCell ref="I13:J13"/>
    <mergeCell ref="B5:F5"/>
    <mergeCell ref="D9:F9"/>
    <mergeCell ref="B13:F13"/>
    <mergeCell ref="D17:F17"/>
    <mergeCell ref="I17:J17"/>
    <mergeCell ref="I18:J18"/>
    <mergeCell ref="I19:J19"/>
  </mergeCells>
  <phoneticPr fontId="1"/>
  <dataValidations count="1">
    <dataValidation imeMode="off" allowBlank="1" showInputMessage="1" showErrorMessage="1" sqref="K51:K53 K57:K59 K14:K49" xr:uid="{00000000-0002-0000-0900-000000000000}"/>
  </dataValidations>
  <printOptions horizontalCentered="1"/>
  <pageMargins left="0.55118110236220474" right="0.35433070866141736" top="0.23622047244094491" bottom="0.19685039370078741" header="0.11811023622047245" footer="0.11811023622047245"/>
  <pageSetup paperSize="9" scale="8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M37"/>
  <sheetViews>
    <sheetView view="pageBreakPreview" zoomScale="60" zoomScaleNormal="100" workbookViewId="0">
      <selection activeCell="B18" sqref="B18:L31"/>
    </sheetView>
  </sheetViews>
  <sheetFormatPr defaultRowHeight="14.4" x14ac:dyDescent="0.45"/>
  <cols>
    <col min="1" max="1" width="2.19921875" style="69" customWidth="1"/>
    <col min="2" max="5" width="6.296875" style="69" customWidth="1"/>
    <col min="6" max="7" width="6.19921875" style="69" customWidth="1"/>
    <col min="8" max="11" width="6.5" style="69" customWidth="1"/>
    <col min="12" max="12" width="11.296875" style="69" customWidth="1"/>
    <col min="13" max="13" width="4.5" style="69" customWidth="1"/>
    <col min="14" max="16384" width="8.796875" style="69"/>
  </cols>
  <sheetData>
    <row r="2" spans="1:13" ht="18" customHeight="1" x14ac:dyDescent="0.45">
      <c r="A2" s="70"/>
      <c r="L2" s="71"/>
      <c r="M2" s="71" t="s">
        <v>115</v>
      </c>
    </row>
    <row r="3" spans="1:13" ht="18" customHeight="1" x14ac:dyDescent="0.45"/>
    <row r="5" spans="1:13" ht="21" x14ac:dyDescent="0.45">
      <c r="A5" s="79" t="s">
        <v>108</v>
      </c>
      <c r="B5" s="10"/>
      <c r="C5" s="10"/>
      <c r="D5" s="10"/>
      <c r="E5" s="10"/>
      <c r="F5" s="10"/>
      <c r="G5" s="10"/>
      <c r="H5" s="10"/>
      <c r="I5" s="10"/>
      <c r="J5" s="10"/>
      <c r="K5" s="10"/>
      <c r="L5" s="10"/>
    </row>
    <row r="7" spans="1:13" x14ac:dyDescent="0.45">
      <c r="M7" s="71" t="s">
        <v>136</v>
      </c>
    </row>
    <row r="9" spans="1:13" x14ac:dyDescent="0.45">
      <c r="A9" s="69" t="s">
        <v>109</v>
      </c>
    </row>
    <row r="11" spans="1:13" x14ac:dyDescent="0.45">
      <c r="A11" s="69" t="s">
        <v>113</v>
      </c>
    </row>
    <row r="12" spans="1:13" x14ac:dyDescent="0.45">
      <c r="A12" s="69" t="s">
        <v>114</v>
      </c>
    </row>
    <row r="14" spans="1:13" x14ac:dyDescent="0.45">
      <c r="A14" s="69" t="s">
        <v>110</v>
      </c>
      <c r="D14" s="69" t="s">
        <v>2</v>
      </c>
      <c r="F14" s="69" t="str">
        <f>IF(AND(入力フォーム!D22="Ｃ",入力フォーム!B2&lt;&gt;""),入力フォーム!B2,"")</f>
        <v/>
      </c>
    </row>
    <row r="15" spans="1:13" x14ac:dyDescent="0.45">
      <c r="D15" s="69" t="s">
        <v>111</v>
      </c>
      <c r="K15" s="71"/>
      <c r="L15" s="69" t="s">
        <v>137</v>
      </c>
    </row>
    <row r="17" spans="1:12" x14ac:dyDescent="0.45">
      <c r="A17" s="69" t="s">
        <v>112</v>
      </c>
    </row>
    <row r="18" spans="1:12" ht="23.4" customHeight="1" x14ac:dyDescent="0.45">
      <c r="B18" s="72" t="s">
        <v>2</v>
      </c>
      <c r="C18" s="73"/>
      <c r="D18" s="73"/>
      <c r="E18" s="73"/>
      <c r="F18" s="73"/>
      <c r="G18" s="74"/>
      <c r="H18" s="72" t="s">
        <v>2</v>
      </c>
      <c r="I18" s="73"/>
      <c r="J18" s="73"/>
      <c r="K18" s="73"/>
      <c r="L18" s="74"/>
    </row>
    <row r="19" spans="1:12" ht="23.4" customHeight="1" x14ac:dyDescent="0.45">
      <c r="B19" s="554" t="str">
        <f>IF(AND(入力フォーム!D22="Ｃ",入力フォーム!B31&lt;&gt;""),入力フォーム!B31,"")</f>
        <v/>
      </c>
      <c r="C19" s="555"/>
      <c r="D19" s="555"/>
      <c r="E19" s="555"/>
      <c r="F19" s="555"/>
      <c r="G19" s="556"/>
      <c r="H19" s="554" t="str">
        <f>IF(AND(入力フォーム!D22="Ｃ",入力フォーム!B36&lt;&gt;""),入力フォーム!B36,"")</f>
        <v/>
      </c>
      <c r="I19" s="555"/>
      <c r="J19" s="555"/>
      <c r="K19" s="555"/>
      <c r="L19" s="556"/>
    </row>
    <row r="20" spans="1:12" ht="23.4" customHeight="1" x14ac:dyDescent="0.45">
      <c r="B20" s="75" t="s">
        <v>119</v>
      </c>
      <c r="G20" s="76"/>
      <c r="H20" s="75" t="s">
        <v>119</v>
      </c>
      <c r="L20" s="76"/>
    </row>
    <row r="21" spans="1:12" ht="23.4" customHeight="1" x14ac:dyDescent="0.45">
      <c r="B21" s="77"/>
      <c r="C21" s="78"/>
      <c r="D21" s="78"/>
      <c r="E21" s="78"/>
      <c r="F21" s="78"/>
      <c r="G21" s="80" t="s">
        <v>13</v>
      </c>
      <c r="H21" s="77"/>
      <c r="I21" s="78"/>
      <c r="J21" s="78"/>
      <c r="K21" s="78"/>
      <c r="L21" s="80" t="s">
        <v>120</v>
      </c>
    </row>
    <row r="22" spans="1:12" ht="23.4" customHeight="1" x14ac:dyDescent="0.45">
      <c r="B22" s="72" t="s">
        <v>2</v>
      </c>
      <c r="C22" s="73"/>
      <c r="D22" s="73"/>
      <c r="E22" s="73"/>
      <c r="F22" s="73"/>
      <c r="G22" s="74"/>
      <c r="H22" s="72" t="s">
        <v>2</v>
      </c>
      <c r="I22" s="73"/>
      <c r="J22" s="73"/>
      <c r="K22" s="73"/>
      <c r="L22" s="74"/>
    </row>
    <row r="23" spans="1:12" ht="23.4" customHeight="1" x14ac:dyDescent="0.45">
      <c r="B23" s="554" t="str">
        <f>IF(AND(入力フォーム!D22="Ｃ",入力フォーム!B41&lt;&gt;""),入力フォーム!B41,"")</f>
        <v/>
      </c>
      <c r="C23" s="555"/>
      <c r="D23" s="555"/>
      <c r="E23" s="555"/>
      <c r="F23" s="555"/>
      <c r="G23" s="556"/>
      <c r="H23" s="554" t="str">
        <f>IF(AND(入力フォーム!D22="Ｃ",入力フォーム!B46&lt;&gt;""),入力フォーム!B46,"")</f>
        <v/>
      </c>
      <c r="I23" s="555"/>
      <c r="J23" s="555"/>
      <c r="K23" s="555"/>
      <c r="L23" s="556"/>
    </row>
    <row r="24" spans="1:12" ht="23.4" customHeight="1" x14ac:dyDescent="0.45">
      <c r="B24" s="75" t="s">
        <v>119</v>
      </c>
      <c r="G24" s="76"/>
      <c r="H24" s="75" t="s">
        <v>119</v>
      </c>
      <c r="L24" s="76"/>
    </row>
    <row r="25" spans="1:12" ht="23.4" customHeight="1" x14ac:dyDescent="0.45">
      <c r="B25" s="77"/>
      <c r="C25" s="78"/>
      <c r="D25" s="78"/>
      <c r="E25" s="78"/>
      <c r="F25" s="78"/>
      <c r="G25" s="80" t="s">
        <v>13</v>
      </c>
      <c r="H25" s="77"/>
      <c r="I25" s="78"/>
      <c r="J25" s="78"/>
      <c r="K25" s="78"/>
      <c r="L25" s="80" t="s">
        <v>120</v>
      </c>
    </row>
    <row r="26" spans="1:12" ht="23.4" customHeight="1" x14ac:dyDescent="0.45">
      <c r="B26" s="72" t="s">
        <v>2</v>
      </c>
      <c r="C26" s="73"/>
      <c r="D26" s="73"/>
      <c r="E26" s="73"/>
      <c r="F26" s="73"/>
      <c r="G26" s="74"/>
      <c r="H26" s="72" t="s">
        <v>2</v>
      </c>
      <c r="I26" s="73"/>
      <c r="J26" s="73"/>
      <c r="K26" s="73"/>
      <c r="L26" s="74"/>
    </row>
    <row r="27" spans="1:12" ht="23.4" customHeight="1" x14ac:dyDescent="0.45">
      <c r="B27" s="554" t="str">
        <f>IF(AND(入力フォーム!D22="Ｃ",入力フォーム!B51&lt;&gt;""),入力フォーム!B51,"")</f>
        <v/>
      </c>
      <c r="C27" s="555"/>
      <c r="D27" s="555"/>
      <c r="E27" s="555"/>
      <c r="F27" s="555"/>
      <c r="G27" s="556"/>
      <c r="H27" s="554" t="str">
        <f>IF(AND(入力フォーム!D22="Ｃ",入力フォーム!B56&lt;&gt;""),入力フォーム!B56,"")</f>
        <v/>
      </c>
      <c r="I27" s="555"/>
      <c r="J27" s="555"/>
      <c r="K27" s="555"/>
      <c r="L27" s="556"/>
    </row>
    <row r="28" spans="1:12" ht="23.4" customHeight="1" x14ac:dyDescent="0.45">
      <c r="B28" s="75" t="s">
        <v>119</v>
      </c>
      <c r="G28" s="76"/>
      <c r="H28" s="75" t="s">
        <v>119</v>
      </c>
      <c r="L28" s="76"/>
    </row>
    <row r="29" spans="1:12" ht="23.4" customHeight="1" x14ac:dyDescent="0.45">
      <c r="B29" s="77"/>
      <c r="C29" s="78"/>
      <c r="D29" s="78"/>
      <c r="E29" s="78"/>
      <c r="F29" s="78"/>
      <c r="G29" s="80" t="s">
        <v>13</v>
      </c>
      <c r="H29" s="77"/>
      <c r="I29" s="78"/>
      <c r="J29" s="78"/>
      <c r="K29" s="78"/>
      <c r="L29" s="80" t="s">
        <v>120</v>
      </c>
    </row>
    <row r="30" spans="1:12" ht="23.4" customHeight="1" x14ac:dyDescent="0.45">
      <c r="B30" s="72" t="s">
        <v>2</v>
      </c>
      <c r="C30" s="73"/>
      <c r="D30" s="73"/>
      <c r="E30" s="73"/>
      <c r="F30" s="73"/>
      <c r="G30" s="74"/>
      <c r="H30" s="72" t="s">
        <v>2</v>
      </c>
      <c r="I30" s="73"/>
      <c r="J30" s="73"/>
      <c r="K30" s="73"/>
      <c r="L30" s="74"/>
    </row>
    <row r="31" spans="1:12" ht="23.4" customHeight="1" x14ac:dyDescent="0.45">
      <c r="B31" s="554" t="str">
        <f>IF(AND(入力フォーム!D22="Ｃ",入力フォーム!B61&lt;&gt;""),入力フォーム!B61,"")</f>
        <v/>
      </c>
      <c r="C31" s="555"/>
      <c r="D31" s="555"/>
      <c r="E31" s="555"/>
      <c r="F31" s="555"/>
      <c r="G31" s="556"/>
      <c r="H31" s="554"/>
      <c r="I31" s="555"/>
      <c r="J31" s="555"/>
      <c r="K31" s="555"/>
      <c r="L31" s="556"/>
    </row>
    <row r="32" spans="1:12" ht="23.4" customHeight="1" x14ac:dyDescent="0.45">
      <c r="B32" s="75" t="s">
        <v>119</v>
      </c>
      <c r="G32" s="76"/>
      <c r="H32" s="75" t="s">
        <v>119</v>
      </c>
      <c r="L32" s="76"/>
    </row>
    <row r="33" spans="2:12" ht="23.4" customHeight="1" x14ac:dyDescent="0.45">
      <c r="B33" s="77"/>
      <c r="C33" s="78"/>
      <c r="D33" s="78"/>
      <c r="E33" s="78"/>
      <c r="F33" s="78"/>
      <c r="G33" s="80" t="s">
        <v>13</v>
      </c>
      <c r="H33" s="77"/>
      <c r="I33" s="78"/>
      <c r="J33" s="78"/>
      <c r="K33" s="78"/>
      <c r="L33" s="80" t="s">
        <v>120</v>
      </c>
    </row>
    <row r="34" spans="2:12" ht="23.4" customHeight="1" x14ac:dyDescent="0.45">
      <c r="B34" s="72" t="s">
        <v>2</v>
      </c>
      <c r="C34" s="73"/>
      <c r="D34" s="73"/>
      <c r="E34" s="73"/>
      <c r="F34" s="73"/>
      <c r="G34" s="74"/>
      <c r="H34" s="72" t="s">
        <v>2</v>
      </c>
      <c r="I34" s="73"/>
      <c r="J34" s="73"/>
      <c r="K34" s="73"/>
      <c r="L34" s="74"/>
    </row>
    <row r="35" spans="2:12" ht="23.4" customHeight="1" x14ac:dyDescent="0.45">
      <c r="B35" s="554"/>
      <c r="C35" s="555"/>
      <c r="D35" s="555"/>
      <c r="E35" s="555"/>
      <c r="F35" s="555"/>
      <c r="G35" s="556"/>
      <c r="H35" s="554"/>
      <c r="I35" s="555"/>
      <c r="J35" s="555"/>
      <c r="K35" s="555"/>
      <c r="L35" s="556"/>
    </row>
    <row r="36" spans="2:12" ht="23.4" customHeight="1" x14ac:dyDescent="0.45">
      <c r="B36" s="75" t="s">
        <v>119</v>
      </c>
      <c r="G36" s="76"/>
      <c r="H36" s="75" t="s">
        <v>119</v>
      </c>
      <c r="L36" s="76"/>
    </row>
    <row r="37" spans="2:12" ht="23.4" customHeight="1" x14ac:dyDescent="0.45">
      <c r="B37" s="77"/>
      <c r="C37" s="78"/>
      <c r="D37" s="78"/>
      <c r="E37" s="78"/>
      <c r="F37" s="78"/>
      <c r="G37" s="80" t="s">
        <v>13</v>
      </c>
      <c r="H37" s="77"/>
      <c r="I37" s="78"/>
      <c r="J37" s="78"/>
      <c r="K37" s="78"/>
      <c r="L37" s="80" t="s">
        <v>120</v>
      </c>
    </row>
  </sheetData>
  <mergeCells count="10">
    <mergeCell ref="H23:L23"/>
    <mergeCell ref="H27:L27"/>
    <mergeCell ref="H31:L31"/>
    <mergeCell ref="H35:L35"/>
    <mergeCell ref="B19:G19"/>
    <mergeCell ref="H19:L19"/>
    <mergeCell ref="B23:G23"/>
    <mergeCell ref="B27:G27"/>
    <mergeCell ref="B31:G31"/>
    <mergeCell ref="B35:G35"/>
  </mergeCells>
  <phoneticPr fontId="1"/>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M37"/>
  <sheetViews>
    <sheetView view="pageBreakPreview" zoomScale="60" zoomScaleNormal="100" workbookViewId="0">
      <selection activeCell="V23" sqref="V23"/>
    </sheetView>
  </sheetViews>
  <sheetFormatPr defaultRowHeight="14.4" x14ac:dyDescent="0.45"/>
  <cols>
    <col min="1" max="1" width="2.19921875" style="69" customWidth="1"/>
    <col min="2" max="5" width="6.296875" style="69" customWidth="1"/>
    <col min="6" max="7" width="6.19921875" style="69" customWidth="1"/>
    <col min="8" max="11" width="6.5" style="69" customWidth="1"/>
    <col min="12" max="12" width="11.296875" style="69" customWidth="1"/>
    <col min="13" max="13" width="4.5" style="69" customWidth="1"/>
    <col min="14" max="16384" width="8.796875" style="69"/>
  </cols>
  <sheetData>
    <row r="2" spans="1:13" ht="18" customHeight="1" x14ac:dyDescent="0.45">
      <c r="A2" s="70"/>
      <c r="L2" s="71"/>
      <c r="M2" s="71" t="s">
        <v>116</v>
      </c>
    </row>
    <row r="3" spans="1:13" ht="18" customHeight="1" x14ac:dyDescent="0.45"/>
    <row r="5" spans="1:13" ht="21" x14ac:dyDescent="0.45">
      <c r="A5" s="79" t="s">
        <v>108</v>
      </c>
      <c r="B5" s="10"/>
      <c r="C5" s="10"/>
      <c r="D5" s="10"/>
      <c r="E5" s="10"/>
      <c r="F5" s="10"/>
      <c r="G5" s="10"/>
      <c r="H5" s="10"/>
      <c r="I5" s="10"/>
      <c r="J5" s="10"/>
      <c r="K5" s="10"/>
      <c r="L5" s="10"/>
    </row>
    <row r="7" spans="1:13" x14ac:dyDescent="0.45">
      <c r="M7" s="71" t="s">
        <v>174</v>
      </c>
    </row>
    <row r="9" spans="1:13" x14ac:dyDescent="0.45">
      <c r="A9" s="69" t="s">
        <v>109</v>
      </c>
    </row>
    <row r="11" spans="1:13" x14ac:dyDescent="0.45">
      <c r="A11" s="69" t="s">
        <v>113</v>
      </c>
    </row>
    <row r="12" spans="1:13" x14ac:dyDescent="0.45">
      <c r="A12" s="69" t="s">
        <v>114</v>
      </c>
    </row>
    <row r="14" spans="1:13" x14ac:dyDescent="0.45">
      <c r="A14" s="69" t="s">
        <v>117</v>
      </c>
      <c r="D14" s="69" t="s">
        <v>2</v>
      </c>
      <c r="F14" s="69" t="str">
        <f>IF(AND(入力フォーム!D22="Ｄ",入力フォーム!B2&lt;&gt;""),入力フォーム!B2,"")</f>
        <v/>
      </c>
    </row>
    <row r="15" spans="1:13" x14ac:dyDescent="0.45">
      <c r="D15" s="69" t="s">
        <v>111</v>
      </c>
      <c r="K15" s="71"/>
      <c r="L15" s="69" t="s">
        <v>137</v>
      </c>
    </row>
    <row r="17" spans="1:12" x14ac:dyDescent="0.45">
      <c r="A17" s="69" t="s">
        <v>118</v>
      </c>
    </row>
    <row r="18" spans="1:12" ht="23.4" customHeight="1" x14ac:dyDescent="0.45">
      <c r="B18" s="72" t="s">
        <v>343</v>
      </c>
      <c r="C18" s="73"/>
      <c r="D18" s="73"/>
      <c r="E18" s="73"/>
      <c r="F18" s="73"/>
      <c r="G18" s="74"/>
      <c r="H18" s="72" t="s">
        <v>343</v>
      </c>
      <c r="I18" s="73"/>
      <c r="J18" s="73"/>
      <c r="K18" s="73"/>
      <c r="L18" s="74"/>
    </row>
    <row r="19" spans="1:12" ht="23.4" customHeight="1" x14ac:dyDescent="0.45">
      <c r="B19" s="554" t="str">
        <f>IF(AND(入力フォーム!D22="Ｄ",入力フォーム!B31&lt;&gt;""),入力フォーム!B31,"")</f>
        <v/>
      </c>
      <c r="C19" s="555"/>
      <c r="D19" s="555"/>
      <c r="E19" s="555"/>
      <c r="F19" s="555"/>
      <c r="G19" s="556"/>
      <c r="H19" s="554" t="str">
        <f>IF(AND(入力フォーム!D22="Ｄ",入力フォーム!B36&lt;&gt;""),入力フォーム!B36,"")</f>
        <v/>
      </c>
      <c r="I19" s="555"/>
      <c r="J19" s="555"/>
      <c r="K19" s="555"/>
      <c r="L19" s="556"/>
    </row>
    <row r="20" spans="1:12" ht="23.4" customHeight="1" x14ac:dyDescent="0.45">
      <c r="B20" s="75" t="s">
        <v>344</v>
      </c>
      <c r="G20" s="76"/>
      <c r="H20" s="75" t="s">
        <v>344</v>
      </c>
      <c r="L20" s="76"/>
    </row>
    <row r="21" spans="1:12" ht="23.4" customHeight="1" x14ac:dyDescent="0.45">
      <c r="B21" s="77"/>
      <c r="C21" s="78"/>
      <c r="D21" s="78"/>
      <c r="E21" s="78"/>
      <c r="F21" s="78"/>
      <c r="G21" s="80" t="s">
        <v>345</v>
      </c>
      <c r="H21" s="77"/>
      <c r="I21" s="78"/>
      <c r="J21" s="78"/>
      <c r="K21" s="78"/>
      <c r="L21" s="80" t="s">
        <v>346</v>
      </c>
    </row>
    <row r="22" spans="1:12" ht="23.4" customHeight="1" x14ac:dyDescent="0.45">
      <c r="B22" s="72" t="s">
        <v>343</v>
      </c>
      <c r="C22" s="73"/>
      <c r="D22" s="73"/>
      <c r="E22" s="73"/>
      <c r="F22" s="73"/>
      <c r="G22" s="74"/>
      <c r="H22" s="72" t="s">
        <v>343</v>
      </c>
      <c r="I22" s="73"/>
      <c r="J22" s="73"/>
      <c r="K22" s="73"/>
      <c r="L22" s="74"/>
    </row>
    <row r="23" spans="1:12" ht="23.4" customHeight="1" x14ac:dyDescent="0.45">
      <c r="B23" s="554" t="str">
        <f>IF(AND(入力フォーム!D22="Ｄ",入力フォーム!B41&lt;&gt;""),入力フォーム!B41,"")</f>
        <v/>
      </c>
      <c r="C23" s="555"/>
      <c r="D23" s="555"/>
      <c r="E23" s="555"/>
      <c r="F23" s="555"/>
      <c r="G23" s="556"/>
      <c r="H23" s="554" t="str">
        <f>IF(AND(入力フォーム!D22="Ｄ",入力フォーム!B46&lt;&gt;""),入力フォーム!B46,"")</f>
        <v/>
      </c>
      <c r="I23" s="555"/>
      <c r="J23" s="555"/>
      <c r="K23" s="555"/>
      <c r="L23" s="556"/>
    </row>
    <row r="24" spans="1:12" ht="23.4" customHeight="1" x14ac:dyDescent="0.45">
      <c r="B24" s="75" t="s">
        <v>344</v>
      </c>
      <c r="G24" s="76"/>
      <c r="H24" s="75" t="s">
        <v>344</v>
      </c>
      <c r="L24" s="76"/>
    </row>
    <row r="25" spans="1:12" ht="23.4" customHeight="1" x14ac:dyDescent="0.45">
      <c r="B25" s="77"/>
      <c r="C25" s="78"/>
      <c r="D25" s="78"/>
      <c r="E25" s="78"/>
      <c r="F25" s="78"/>
      <c r="G25" s="80" t="s">
        <v>345</v>
      </c>
      <c r="H25" s="77"/>
      <c r="I25" s="78"/>
      <c r="J25" s="78"/>
      <c r="K25" s="78"/>
      <c r="L25" s="80" t="s">
        <v>346</v>
      </c>
    </row>
    <row r="26" spans="1:12" ht="23.4" customHeight="1" x14ac:dyDescent="0.45">
      <c r="B26" s="72" t="s">
        <v>343</v>
      </c>
      <c r="C26" s="73"/>
      <c r="D26" s="73"/>
      <c r="E26" s="73"/>
      <c r="F26" s="73"/>
      <c r="G26" s="74"/>
      <c r="H26" s="72" t="s">
        <v>343</v>
      </c>
      <c r="I26" s="73"/>
      <c r="J26" s="73"/>
      <c r="K26" s="73"/>
      <c r="L26" s="74"/>
    </row>
    <row r="27" spans="1:12" ht="23.4" customHeight="1" x14ac:dyDescent="0.45">
      <c r="B27" s="554" t="str">
        <f>IF(AND(入力フォーム!D22="Ｄ",入力フォーム!B51&lt;&gt;""),入力フォーム!B51,"")</f>
        <v/>
      </c>
      <c r="C27" s="555"/>
      <c r="D27" s="555"/>
      <c r="E27" s="555"/>
      <c r="F27" s="555"/>
      <c r="G27" s="556"/>
      <c r="H27" s="554" t="str">
        <f>IF(AND(入力フォーム!D22="Ｄ",入力フォーム!B56&lt;&gt;""),入力フォーム!B56,"")</f>
        <v/>
      </c>
      <c r="I27" s="555"/>
      <c r="J27" s="555"/>
      <c r="K27" s="555"/>
      <c r="L27" s="556"/>
    </row>
    <row r="28" spans="1:12" ht="23.4" customHeight="1" x14ac:dyDescent="0.45">
      <c r="B28" s="75" t="s">
        <v>344</v>
      </c>
      <c r="G28" s="76"/>
      <c r="H28" s="75" t="s">
        <v>344</v>
      </c>
      <c r="L28" s="76"/>
    </row>
    <row r="29" spans="1:12" ht="23.4" customHeight="1" x14ac:dyDescent="0.45">
      <c r="B29" s="77"/>
      <c r="C29" s="78"/>
      <c r="D29" s="78"/>
      <c r="E29" s="78"/>
      <c r="F29" s="78"/>
      <c r="G29" s="80" t="s">
        <v>345</v>
      </c>
      <c r="H29" s="77"/>
      <c r="I29" s="78"/>
      <c r="J29" s="78"/>
      <c r="K29" s="78"/>
      <c r="L29" s="80" t="s">
        <v>346</v>
      </c>
    </row>
    <row r="30" spans="1:12" ht="23.4" customHeight="1" x14ac:dyDescent="0.45">
      <c r="B30" s="72" t="s">
        <v>343</v>
      </c>
      <c r="C30" s="73"/>
      <c r="D30" s="73"/>
      <c r="E30" s="73"/>
      <c r="F30" s="73"/>
      <c r="G30" s="74"/>
      <c r="H30" s="72" t="s">
        <v>343</v>
      </c>
      <c r="I30" s="73"/>
      <c r="J30" s="73"/>
      <c r="K30" s="73"/>
      <c r="L30" s="74"/>
    </row>
    <row r="31" spans="1:12" ht="23.4" customHeight="1" x14ac:dyDescent="0.45">
      <c r="B31" s="554" t="str">
        <f>IF(AND(入力フォーム!D22="Ｄ",入力フォーム!B61&lt;&gt;""),入力フォーム!B61,"")</f>
        <v/>
      </c>
      <c r="C31" s="555"/>
      <c r="D31" s="555"/>
      <c r="E31" s="555"/>
      <c r="F31" s="555"/>
      <c r="G31" s="556"/>
      <c r="H31" s="554"/>
      <c r="I31" s="555"/>
      <c r="J31" s="555"/>
      <c r="K31" s="555"/>
      <c r="L31" s="556"/>
    </row>
    <row r="32" spans="1:12" ht="23.4" customHeight="1" x14ac:dyDescent="0.45">
      <c r="B32" s="75" t="s">
        <v>119</v>
      </c>
      <c r="G32" s="76"/>
      <c r="H32" s="75" t="s">
        <v>119</v>
      </c>
      <c r="L32" s="76"/>
    </row>
    <row r="33" spans="2:12" ht="23.4" customHeight="1" x14ac:dyDescent="0.45">
      <c r="B33" s="77"/>
      <c r="C33" s="78"/>
      <c r="D33" s="78"/>
      <c r="E33" s="78"/>
      <c r="F33" s="78"/>
      <c r="G33" s="80" t="s">
        <v>13</v>
      </c>
      <c r="H33" s="77"/>
      <c r="I33" s="78"/>
      <c r="J33" s="78"/>
      <c r="K33" s="78"/>
      <c r="L33" s="80" t="s">
        <v>120</v>
      </c>
    </row>
    <row r="34" spans="2:12" ht="23.4" customHeight="1" x14ac:dyDescent="0.45">
      <c r="B34" s="72" t="s">
        <v>2</v>
      </c>
      <c r="C34" s="73"/>
      <c r="D34" s="73"/>
      <c r="E34" s="73"/>
      <c r="F34" s="73"/>
      <c r="G34" s="74"/>
      <c r="H34" s="72" t="s">
        <v>2</v>
      </c>
      <c r="I34" s="73"/>
      <c r="J34" s="73"/>
      <c r="K34" s="73"/>
      <c r="L34" s="74"/>
    </row>
    <row r="35" spans="2:12" ht="23.4" customHeight="1" x14ac:dyDescent="0.45">
      <c r="B35" s="554"/>
      <c r="C35" s="555"/>
      <c r="D35" s="555"/>
      <c r="E35" s="555"/>
      <c r="F35" s="555"/>
      <c r="G35" s="556"/>
      <c r="H35" s="554"/>
      <c r="I35" s="555"/>
      <c r="J35" s="555"/>
      <c r="K35" s="555"/>
      <c r="L35" s="556"/>
    </row>
    <row r="36" spans="2:12" ht="23.4" customHeight="1" x14ac:dyDescent="0.45">
      <c r="B36" s="75" t="s">
        <v>119</v>
      </c>
      <c r="G36" s="76"/>
      <c r="H36" s="75" t="s">
        <v>119</v>
      </c>
      <c r="L36" s="76"/>
    </row>
    <row r="37" spans="2:12" ht="23.4" customHeight="1" x14ac:dyDescent="0.45">
      <c r="B37" s="77"/>
      <c r="C37" s="78"/>
      <c r="D37" s="78"/>
      <c r="E37" s="78"/>
      <c r="F37" s="78"/>
      <c r="G37" s="80" t="s">
        <v>13</v>
      </c>
      <c r="H37" s="77"/>
      <c r="I37" s="78"/>
      <c r="J37" s="78"/>
      <c r="K37" s="78"/>
      <c r="L37" s="80" t="s">
        <v>120</v>
      </c>
    </row>
  </sheetData>
  <mergeCells count="10">
    <mergeCell ref="B31:G31"/>
    <mergeCell ref="H31:L31"/>
    <mergeCell ref="B35:G35"/>
    <mergeCell ref="H35:L35"/>
    <mergeCell ref="B19:G19"/>
    <mergeCell ref="H19:L19"/>
    <mergeCell ref="B23:G23"/>
    <mergeCell ref="H23:L23"/>
    <mergeCell ref="B27:G27"/>
    <mergeCell ref="H27:L27"/>
  </mergeCells>
  <phoneticPr fontId="1"/>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285"/>
  <sheetViews>
    <sheetView zoomScaleNormal="100" workbookViewId="0">
      <selection activeCell="B143" sqref="B143:B265"/>
    </sheetView>
  </sheetViews>
  <sheetFormatPr defaultRowHeight="18" outlineLevelCol="1" x14ac:dyDescent="0.45"/>
  <cols>
    <col min="1" max="1" width="50" customWidth="1"/>
    <col min="2" max="2" width="52.8984375" customWidth="1"/>
    <col min="3" max="3" width="68.19921875" bestFit="1" customWidth="1"/>
    <col min="4" max="4" width="0" hidden="1" customWidth="1" outlineLevel="1"/>
    <col min="5" max="5" width="53.3984375" hidden="1" customWidth="1" outlineLevel="1"/>
    <col min="6" max="7" width="29.796875" hidden="1" customWidth="1" outlineLevel="1"/>
    <col min="8" max="8" width="53.3984375" hidden="1" customWidth="1" outlineLevel="1"/>
    <col min="9" max="10" width="29.796875" hidden="1" customWidth="1" outlineLevel="1"/>
    <col min="11" max="11" width="8.796875" collapsed="1"/>
  </cols>
  <sheetData>
    <row r="2" spans="1:10" x14ac:dyDescent="0.45">
      <c r="A2" s="13" t="s">
        <v>2</v>
      </c>
      <c r="B2" s="562"/>
      <c r="C2" t="s">
        <v>32</v>
      </c>
    </row>
    <row r="3" spans="1:10" x14ac:dyDescent="0.45">
      <c r="A3" s="13" t="s">
        <v>82</v>
      </c>
      <c r="B3" s="562" t="s">
        <v>341</v>
      </c>
      <c r="C3" t="s">
        <v>28</v>
      </c>
      <c r="F3" s="55">
        <v>200000</v>
      </c>
      <c r="G3" s="55">
        <v>300000</v>
      </c>
      <c r="H3" s="55">
        <v>500000</v>
      </c>
      <c r="I3" s="55">
        <v>1000000</v>
      </c>
      <c r="J3" s="55">
        <v>2000000</v>
      </c>
    </row>
    <row r="4" spans="1:10" x14ac:dyDescent="0.45">
      <c r="A4" s="13" t="s">
        <v>388</v>
      </c>
      <c r="B4" s="566"/>
      <c r="F4" s="55"/>
      <c r="G4" s="55"/>
      <c r="H4" s="55"/>
      <c r="I4" s="55"/>
      <c r="J4" s="55"/>
    </row>
    <row r="5" spans="1:10" x14ac:dyDescent="0.45">
      <c r="A5" s="13" t="s">
        <v>155</v>
      </c>
      <c r="B5" s="562"/>
      <c r="C5" t="s">
        <v>33</v>
      </c>
    </row>
    <row r="6" spans="1:10" x14ac:dyDescent="0.45">
      <c r="A6" s="13" t="s">
        <v>23</v>
      </c>
      <c r="B6" s="562"/>
    </row>
    <row r="7" spans="1:10" x14ac:dyDescent="0.45">
      <c r="A7" s="13" t="s">
        <v>24</v>
      </c>
      <c r="B7" s="562"/>
    </row>
    <row r="8" spans="1:10" x14ac:dyDescent="0.45">
      <c r="A8" s="13" t="s">
        <v>389</v>
      </c>
      <c r="B8" s="562"/>
    </row>
    <row r="9" spans="1:10" x14ac:dyDescent="0.45">
      <c r="A9" s="13" t="s">
        <v>30</v>
      </c>
      <c r="B9" s="562"/>
      <c r="C9" t="s">
        <v>31</v>
      </c>
    </row>
    <row r="10" spans="1:10" x14ac:dyDescent="0.45">
      <c r="A10" s="13" t="s">
        <v>25</v>
      </c>
      <c r="B10" s="562"/>
    </row>
    <row r="11" spans="1:10" x14ac:dyDescent="0.45">
      <c r="A11" s="13" t="s">
        <v>390</v>
      </c>
      <c r="B11" s="566"/>
    </row>
    <row r="12" spans="1:10" x14ac:dyDescent="0.45">
      <c r="A12" s="13" t="s">
        <v>156</v>
      </c>
      <c r="B12" s="562"/>
    </row>
    <row r="13" spans="1:10" x14ac:dyDescent="0.45">
      <c r="A13" s="13" t="s">
        <v>391</v>
      </c>
      <c r="B13" s="562"/>
    </row>
    <row r="14" spans="1:10" x14ac:dyDescent="0.45">
      <c r="A14" s="13" t="s">
        <v>392</v>
      </c>
      <c r="B14" s="562"/>
    </row>
    <row r="15" spans="1:10" x14ac:dyDescent="0.45">
      <c r="A15" s="13" t="s">
        <v>393</v>
      </c>
      <c r="B15" s="562"/>
    </row>
    <row r="16" spans="1:10" x14ac:dyDescent="0.45">
      <c r="A16" s="13" t="s">
        <v>394</v>
      </c>
      <c r="B16" s="567"/>
    </row>
    <row r="17" spans="1:4" x14ac:dyDescent="0.45">
      <c r="A17" s="220" t="s">
        <v>215</v>
      </c>
      <c r="B17" s="563" t="s">
        <v>397</v>
      </c>
      <c r="C17" t="s">
        <v>28</v>
      </c>
    </row>
    <row r="18" spans="1:4" x14ac:dyDescent="0.45">
      <c r="A18" s="220" t="s">
        <v>216</v>
      </c>
      <c r="B18" s="563" t="s">
        <v>340</v>
      </c>
      <c r="C18" t="s">
        <v>28</v>
      </c>
    </row>
    <row r="19" spans="1:4" ht="39" customHeight="1" x14ac:dyDescent="0.45">
      <c r="A19" s="220" t="str">
        <f>IF(AND(B3="単一",B18="行う"),"他の単一町会・自治会と共同して実施しますか", "↓")</f>
        <v>他の単一町会・自治会と共同して実施しますか</v>
      </c>
      <c r="B19" s="563" t="s">
        <v>342</v>
      </c>
      <c r="C19" t="s">
        <v>28</v>
      </c>
    </row>
    <row r="20" spans="1:4" ht="39" customHeight="1" x14ac:dyDescent="0.45">
      <c r="A20" s="220" t="str">
        <f>IF(AND(B3="単一",B18="行う",B19="実施しない"),"他の地域団体（町会・自治会及び自治体を除く。）と連携して実施しますか","↓")</f>
        <v>↓</v>
      </c>
      <c r="B20" s="563"/>
      <c r="C20" t="s">
        <v>28</v>
      </c>
    </row>
    <row r="21" spans="1:4" ht="39" customHeight="1" x14ac:dyDescent="0.45">
      <c r="A21" s="220" t="str">
        <f>IF(B3="単一",IF(AND(B18="行う",OR(B19="実施する",B20="実施する")),"↓",IF(B18="行わない","↓","今までに交付決定を受けたことがありますか")),IF(AND(B18="行う",OR(B3="地区連",B3="町自連",B3="都町連")),"今までに交付決定を受けたことがありますか","↓"))</f>
        <v>↓</v>
      </c>
      <c r="B21" s="563"/>
      <c r="C21" t="s">
        <v>28</v>
      </c>
    </row>
    <row r="22" spans="1:4" x14ac:dyDescent="0.45">
      <c r="A22" s="117" t="s">
        <v>217</v>
      </c>
      <c r="B22" s="308" t="str">
        <f>IFERROR(IF(B18="行わない","－",IF(B19="実施する","Ｃ　複数の単一町会・自治会が共同して実施する取組",IF(B20="実施する","Ｄ　単一の町会・自治会が他の地域団体と連携して実施する取組",IF(B21="ある","Ｂ－Ｓ　デジタル活用支援",IF(B21="ない","Ａ　地域の課題解決のための取組",""))))),"")</f>
        <v>Ｃ　複数の単一町会・自治会が共同して実施する取組</v>
      </c>
      <c r="D22" t="str">
        <f>LEFT(B22,1)</f>
        <v>Ｃ</v>
      </c>
    </row>
    <row r="23" spans="1:4" x14ac:dyDescent="0.45">
      <c r="A23" s="118" t="s">
        <v>129</v>
      </c>
      <c r="B23" s="281">
        <f>IF(B18="行う",1,"")</f>
        <v>1</v>
      </c>
    </row>
    <row r="24" spans="1:4" x14ac:dyDescent="0.45">
      <c r="A24" s="220" t="str">
        <f>IF(B18="行う","助成金申請に当たって、以下の点をチェックしてください","↓")</f>
        <v>助成金申請に当たって、以下の点をチェックしてください</v>
      </c>
      <c r="B24" s="235" t="s">
        <v>26</v>
      </c>
    </row>
    <row r="25" spans="1:4" ht="54" x14ac:dyDescent="0.45">
      <c r="A25" s="220" t="str">
        <f>IF(B18="行う",IF(B2="", "①助成対象経費として申請する全ての経費は、申請団体が主催するスマートフォン教室のために直接必要になるものである","①助成対象経費として申請する全ての経費は、"&amp;B2&amp;"が主催するスマートフォン教室のために直接必要になるものである"),"↓")</f>
        <v>①助成対象経費として申請する全ての経費は、申請団体が主催するスマートフォン教室のために直接必要になるものである</v>
      </c>
      <c r="B25" s="563"/>
    </row>
    <row r="26" spans="1:4" ht="54" x14ac:dyDescent="0.45">
      <c r="A26" s="220" t="str">
        <f>IF(B18="行う","②助成対象経費として申請する物品は、備蓄用やスマートフォン教室で使用した物品等の補充・補てんに要するものではない","↓")</f>
        <v>②助成対象経費として申請する物品は、備蓄用やスマートフォン教室で使用した物品等の補充・補てんに要するものではない</v>
      </c>
      <c r="B26" s="563"/>
    </row>
    <row r="27" spans="1:4" ht="36" x14ac:dyDescent="0.45">
      <c r="A27" s="220" t="str">
        <f>IF(B18="行う","③申請する内容には、以下に掲げる助成対象とならない事業・経費を含んでいない","↓")</f>
        <v>③申請する内容には、以下に掲げる助成対象とならない事業・経費を含んでいない</v>
      </c>
      <c r="B27" s="235" t="s">
        <v>26</v>
      </c>
    </row>
    <row r="28" spans="1:4" x14ac:dyDescent="0.45">
      <c r="A28" s="220" t="str">
        <f>IF(B18="行う","・参加の機会が一部の住民のみに限られる事業","↓")</f>
        <v>・参加の機会が一部の住民のみに限られる事業</v>
      </c>
      <c r="B28" s="563"/>
    </row>
    <row r="29" spans="1:4" ht="36" x14ac:dyDescent="0.45">
      <c r="A29" s="220" t="str">
        <f>IF(B18="行う","・東京都における他の補助金、国や他の地方自治体からの助成金などを受けて実施する事業","↓")</f>
        <v>・東京都における他の補助金、国や他の地方自治体からの助成金などを受けて実施する事業</v>
      </c>
      <c r="B29" s="563"/>
    </row>
    <row r="30" spans="1:4" ht="36" x14ac:dyDescent="0.45">
      <c r="A30" s="220" t="str">
        <f>IF(B18="行う","・打合せの場で提供される食事、茶菓子、お弁当などの飲食費","↓")</f>
        <v>・打合せの場で提供される食事、茶菓子、お弁当などの飲食費</v>
      </c>
      <c r="B30" s="563"/>
    </row>
    <row r="31" spans="1:4" ht="35.4" customHeight="1" x14ac:dyDescent="0.45">
      <c r="A31" t="str">
        <f>IF(B22="Ｃ　複数の単一町会・自治会が共同して実施する取組","共同実施団体・連携実施団体名１",IF(B22="Ｄ　単一の町会・自治会が他の地域団体と連携して実施する取組","共同実施団体・連携実施団体名１","↓"))</f>
        <v>共同実施団体・連携実施団体名１</v>
      </c>
      <c r="B31" s="562"/>
    </row>
    <row r="32" spans="1:4" ht="35.4" customHeight="1" x14ac:dyDescent="0.45">
      <c r="A32" t="str">
        <f>IF(B22="Ｃ　複数の単一町会・自治会が共同して実施する取組","共同実施団体・連携実施団体代表者役職１",IF(B22="Ｄ　単一の町会・自治会が他の地域団体と連携して実施する取組","共同実施団体・連携実施団体代表者役職１","↓"))</f>
        <v>共同実施団体・連携実施団体代表者役職１</v>
      </c>
      <c r="B32" s="562"/>
    </row>
    <row r="33" spans="1:3" ht="35.4" customHeight="1" x14ac:dyDescent="0.45">
      <c r="A33" t="str">
        <f>IF(B22="Ｃ　複数の単一町会・自治会が共同して実施する取組","共同実施団体・連携実施団体所在地等１",IF(B22="Ｄ　単一の町会・自治会が他の地域団体と連携して実施する取組","共同実施団体・連携実施団体所在地等１","↓"))</f>
        <v>共同実施団体・連携実施団体所在地等１</v>
      </c>
      <c r="B33" s="562"/>
    </row>
    <row r="34" spans="1:3" ht="35.4" customHeight="1" x14ac:dyDescent="0.45">
      <c r="A34" t="str">
        <f>IF(B22="Ｃ　複数の単一町会・自治会が共同して実施する取組","共同実施団体・連携実施団体電話番号１",IF(B22="Ｄ　単一の町会・自治会が他の地域団体と連携して実施する取組","共同実施団体・連携実施団体電話番号１","↓"))</f>
        <v>共同実施団体・連携実施団体電話番号１</v>
      </c>
      <c r="B34" s="562"/>
    </row>
    <row r="35" spans="1:3" ht="35.4" customHeight="1" x14ac:dyDescent="0.45">
      <c r="A35" t="str">
        <f>IF(B22="Ｃ　複数の単一町会・自治会が共同して実施する取組","共同実施団体・連携実施団体構成世帯数１",IF(B22="Ｄ　単一の町会・自治会が他の地域団体と連携して実施する取組","↓","↓"))</f>
        <v>共同実施団体・連携実施団体構成世帯数１</v>
      </c>
      <c r="B35" s="562"/>
    </row>
    <row r="36" spans="1:3" ht="35.4" customHeight="1" x14ac:dyDescent="0.45">
      <c r="A36" t="str">
        <f>IF(A31="↓","↓",IF(B31="","↓","共同実施団体・連携実施団体名２"))</f>
        <v>↓</v>
      </c>
      <c r="B36" s="562"/>
      <c r="C36" t="s">
        <v>34</v>
      </c>
    </row>
    <row r="37" spans="1:3" ht="35.4" customHeight="1" x14ac:dyDescent="0.45">
      <c r="A37" t="str">
        <f>IF(A31="↓","↓",IF(B31="","↓","共同実施団体・連携実施団体代表者役職２"))</f>
        <v>↓</v>
      </c>
      <c r="B37" s="562"/>
    </row>
    <row r="38" spans="1:3" ht="35.4" customHeight="1" x14ac:dyDescent="0.45">
      <c r="A38" t="str">
        <f>IF(A31="↓","↓",IF(B31="","↓","共同実施団体・連携実施団体所在地等２"))</f>
        <v>↓</v>
      </c>
      <c r="B38" s="562"/>
    </row>
    <row r="39" spans="1:3" ht="35.4" customHeight="1" x14ac:dyDescent="0.45">
      <c r="A39" t="str">
        <f>IF(A31="↓","↓",IF(B31="","↓","共同実施団体・連携実施団体電話番号２"))</f>
        <v>↓</v>
      </c>
      <c r="B39" s="562"/>
    </row>
    <row r="40" spans="1:3" ht="35.4" customHeight="1" x14ac:dyDescent="0.45">
      <c r="A40" t="str">
        <f>IF(A31="↓","↓",IF(B31="","↓",IF(B22="Ｃ　複数の単一町会・自治会が共同して実施する取組","共同実施団体・連携実施団体構成世帯数２","↓")))</f>
        <v>↓</v>
      </c>
      <c r="B40" s="562"/>
    </row>
    <row r="41" spans="1:3" ht="35.4" customHeight="1" x14ac:dyDescent="0.45">
      <c r="A41" t="str">
        <f>IF(B36="","↓","共同実施団体・連携実施団体名３")</f>
        <v>↓</v>
      </c>
      <c r="B41" s="562"/>
      <c r="C41" t="s">
        <v>35</v>
      </c>
    </row>
    <row r="42" spans="1:3" ht="35.4" customHeight="1" x14ac:dyDescent="0.45">
      <c r="A42" t="str">
        <f>IF(B36="","↓","共同実施団体・連携実施団体代表者役職３")</f>
        <v>↓</v>
      </c>
      <c r="B42" s="562"/>
    </row>
    <row r="43" spans="1:3" ht="35.4" customHeight="1" x14ac:dyDescent="0.45">
      <c r="A43" t="str">
        <f>IF(B36="","↓","共同実施団体・連携実施団体所在地等３")</f>
        <v>↓</v>
      </c>
      <c r="B43" s="562"/>
    </row>
    <row r="44" spans="1:3" ht="35.4" customHeight="1" x14ac:dyDescent="0.45">
      <c r="A44" t="str">
        <f>IF(B36="","↓","共同実施団体・連携実施団体電話番号３")</f>
        <v>↓</v>
      </c>
      <c r="B44" s="562"/>
    </row>
    <row r="45" spans="1:3" ht="35.4" customHeight="1" x14ac:dyDescent="0.45">
      <c r="A45" t="str">
        <f>IF(B36="","↓",IF(B22="Ｃ　複数の単一町会・自治会が共同して実施する取組","共同実施団体・連携実施団体構成世帯数３","↓"))</f>
        <v>↓</v>
      </c>
      <c r="B45" s="562"/>
    </row>
    <row r="46" spans="1:3" ht="35.4" customHeight="1" x14ac:dyDescent="0.45">
      <c r="A46" t="str">
        <f>IF(B41="","↓","共同実施団体・連携実施団体名４")</f>
        <v>↓</v>
      </c>
      <c r="B46" s="562"/>
      <c r="C46" t="s">
        <v>36</v>
      </c>
    </row>
    <row r="47" spans="1:3" ht="35.4" customHeight="1" x14ac:dyDescent="0.45">
      <c r="A47" t="str">
        <f>IF(B41="","↓","共同実施団体・連携実施団体代表者役職４")</f>
        <v>↓</v>
      </c>
      <c r="B47" s="562"/>
    </row>
    <row r="48" spans="1:3" ht="35.4" customHeight="1" x14ac:dyDescent="0.45">
      <c r="A48" t="str">
        <f>IF(B41="","↓","共同実施団体・連携実施団体所在地等４")</f>
        <v>↓</v>
      </c>
      <c r="B48" s="562"/>
    </row>
    <row r="49" spans="1:3" ht="35.4" customHeight="1" x14ac:dyDescent="0.45">
      <c r="A49" t="str">
        <f>IF(B41="","↓","共同実施団体・連携実施団体電話番号４")</f>
        <v>↓</v>
      </c>
      <c r="B49" s="562"/>
    </row>
    <row r="50" spans="1:3" ht="35.4" customHeight="1" x14ac:dyDescent="0.45">
      <c r="A50" t="str">
        <f>IF(B41="","↓",IF(B22="Ｃ　複数の単一町会・自治会が共同して実施する取組","共同実施団体・連携実施団体構成世帯数４","↓"))</f>
        <v>↓</v>
      </c>
      <c r="B50" s="562"/>
    </row>
    <row r="51" spans="1:3" ht="35.4" customHeight="1" x14ac:dyDescent="0.45">
      <c r="A51" t="str">
        <f>IF(B46="","↓","共同実施団体・連携実施団体名５")</f>
        <v>↓</v>
      </c>
      <c r="B51" s="562"/>
      <c r="C51" t="s">
        <v>37</v>
      </c>
    </row>
    <row r="52" spans="1:3" ht="35.4" customHeight="1" x14ac:dyDescent="0.45">
      <c r="A52" t="str">
        <f>IF(B46="","↓","共同実施団体・連携実施団体代表者役職５")</f>
        <v>↓</v>
      </c>
      <c r="B52" s="562"/>
    </row>
    <row r="53" spans="1:3" ht="35.4" customHeight="1" x14ac:dyDescent="0.45">
      <c r="A53" t="str">
        <f>IF(B46="","↓","共同実施団体・連携実施団体所在地等５")</f>
        <v>↓</v>
      </c>
      <c r="B53" s="562"/>
    </row>
    <row r="54" spans="1:3" ht="35.4" customHeight="1" x14ac:dyDescent="0.45">
      <c r="A54" t="str">
        <f>IF(B46="","↓","共同実施団体・連携実施団体電話番号５")</f>
        <v>↓</v>
      </c>
      <c r="B54" s="562"/>
    </row>
    <row r="55" spans="1:3" ht="35.4" customHeight="1" x14ac:dyDescent="0.45">
      <c r="A55" t="str">
        <f>IF(B46="","↓",IF(B22="Ｃ　複数の単一町会・自治会が共同して実施する取組","共同実施団体・連携実施団体構成世帯数５","↓"))</f>
        <v>↓</v>
      </c>
      <c r="B55" s="562"/>
    </row>
    <row r="56" spans="1:3" ht="35.4" customHeight="1" x14ac:dyDescent="0.45">
      <c r="A56" t="str">
        <f>IF(B51="","↓","共同実施団体・連携実施団体名６")</f>
        <v>↓</v>
      </c>
      <c r="B56" s="562"/>
      <c r="C56" t="s">
        <v>38</v>
      </c>
    </row>
    <row r="57" spans="1:3" ht="35.4" customHeight="1" x14ac:dyDescent="0.45">
      <c r="A57" t="str">
        <f>IF(B51="","↓","共同実施団体・連携実施団体代表者役職６")</f>
        <v>↓</v>
      </c>
      <c r="B57" s="562"/>
    </row>
    <row r="58" spans="1:3" ht="35.4" customHeight="1" x14ac:dyDescent="0.45">
      <c r="A58" t="str">
        <f>IF(B51="","↓","共同実施団体・連携実施団体所在地等６")</f>
        <v>↓</v>
      </c>
      <c r="B58" s="562"/>
    </row>
    <row r="59" spans="1:3" ht="35.4" customHeight="1" x14ac:dyDescent="0.45">
      <c r="A59" t="str">
        <f>IF(B51="","↓","共同実施団体・連携実施団体電話番号６")</f>
        <v>↓</v>
      </c>
      <c r="B59" s="562"/>
    </row>
    <row r="60" spans="1:3" ht="35.4" customHeight="1" x14ac:dyDescent="0.45">
      <c r="A60" t="str">
        <f>IF(B51="","↓",IF(B22="Ｃ　複数の単一町会・自治会が共同して実施する取組","共同実施団体・連携実施団体構成世帯数６","↓"))</f>
        <v>↓</v>
      </c>
      <c r="B60" s="562"/>
    </row>
    <row r="61" spans="1:3" ht="35.4" customHeight="1" x14ac:dyDescent="0.45">
      <c r="A61" t="str">
        <f>IF(B56="","↓","共同実施団体・連携実施団体名７")</f>
        <v>↓</v>
      </c>
      <c r="B61" s="562"/>
      <c r="C61" t="s">
        <v>39</v>
      </c>
    </row>
    <row r="62" spans="1:3" ht="35.4" customHeight="1" x14ac:dyDescent="0.45">
      <c r="A62" t="str">
        <f>IF(B56="","↓","共同実施団体・連携実施団体代表者役職７")</f>
        <v>↓</v>
      </c>
      <c r="B62" s="562"/>
    </row>
    <row r="63" spans="1:3" ht="35.4" customHeight="1" x14ac:dyDescent="0.45">
      <c r="A63" t="str">
        <f>IF(B56="","↓","共同実施団体・連携実施団体所在地等７")</f>
        <v>↓</v>
      </c>
      <c r="B63" s="562"/>
    </row>
    <row r="64" spans="1:3" ht="35.4" customHeight="1" x14ac:dyDescent="0.45">
      <c r="A64" t="str">
        <f>IF(B56="","↓","共同実施団体・連携実施団体電話番号７")</f>
        <v>↓</v>
      </c>
      <c r="B64" s="562"/>
    </row>
    <row r="65" spans="1:3" ht="35.4" customHeight="1" x14ac:dyDescent="0.45">
      <c r="A65" t="str">
        <f>IF(B56="","↓",IF(B22="Ｃ　複数の単一町会・自治会が共同して実施する取組","共同実施団体・連携実施団体構成世帯数７","↓"))</f>
        <v>↓</v>
      </c>
      <c r="B65" s="562"/>
    </row>
    <row r="66" spans="1:3" ht="35.4" customHeight="1" x14ac:dyDescent="0.45">
      <c r="A66" t="str">
        <f>IF(OR(B22="Ｃ　複数の単一町会・自治会が共同して実施する取組",B22="Ｄ　単一の町会・自治会が他の地域団体と連携して実施する取組"),"申請団体と共同実施団体・連携実施団体の役割","↓")</f>
        <v>申請団体と共同実施団体・連携実施団体の役割</v>
      </c>
      <c r="B66" s="235" t="s">
        <v>26</v>
      </c>
    </row>
    <row r="67" spans="1:3" ht="35.4" customHeight="1" x14ac:dyDescent="0.45">
      <c r="A67" t="str">
        <f>IF(OR(B22="Ｃ　複数の単一町会・自治会が共同して実施する取組",B22="Ｄ　単一の町会・自治会が他の地域団体と連携して実施する取組"),"申請団体の役割","↓")</f>
        <v>申請団体の役割</v>
      </c>
      <c r="B67" s="235" t="s">
        <v>26</v>
      </c>
    </row>
    <row r="68" spans="1:3" ht="35.4" customHeight="1" x14ac:dyDescent="0.45">
      <c r="A68" s="309" t="str">
        <f>IF(OR(B22="Ｃ　複数の単一町会・自治会が共同して実施する取組",B22="Ｄ　単一の町会・自治会が他の地域団体と連携して実施する取組"),"①企画、進行管理","↓")</f>
        <v>①企画、進行管理</v>
      </c>
      <c r="B68" s="562"/>
      <c r="C68" t="s">
        <v>284</v>
      </c>
    </row>
    <row r="69" spans="1:3" ht="35.4" customHeight="1" x14ac:dyDescent="0.45">
      <c r="A69" s="309" t="str">
        <f>IF(OR(B22="Ｃ　複数の単一町会・自治会が共同して実施する取組",B22="Ｄ　単一の町会・自治会が他の地域団体と連携して実施する取組"),"②広報","↓")</f>
        <v>②広報</v>
      </c>
      <c r="B69" s="562"/>
      <c r="C69" t="s">
        <v>284</v>
      </c>
    </row>
    <row r="70" spans="1:3" ht="35.4" customHeight="1" x14ac:dyDescent="0.45">
      <c r="A70" s="309" t="str">
        <f>IF(OR(B22="Ｃ　複数の単一町会・自治会が共同して実施する取組",B22="Ｄ　単一の町会・自治会が他の地域団体と連携して実施する取組"),"③物品等調達・管理","↓")</f>
        <v>③物品等調達・管理</v>
      </c>
      <c r="B70" s="562"/>
      <c r="C70" t="s">
        <v>284</v>
      </c>
    </row>
    <row r="71" spans="1:3" ht="35.4" customHeight="1" x14ac:dyDescent="0.45">
      <c r="A71" s="309" t="str">
        <f>IF(OR(B22="Ｃ　複数の単一町会・自治会が共同して実施する取組",B22="Ｄ　単一の町会・自治会が他の地域団体と連携して実施する取組"),"④各種届出等連絡調整","↓")</f>
        <v>④各種届出等連絡調整</v>
      </c>
      <c r="B71" s="562"/>
      <c r="C71" t="s">
        <v>284</v>
      </c>
    </row>
    <row r="72" spans="1:3" ht="35.4" customHeight="1" x14ac:dyDescent="0.45">
      <c r="A72" s="309" t="str">
        <f>IF(OR(B22="Ｃ　複数の単一町会・自治会が共同して実施する取組",B22="Ｄ　単一の町会・自治会が他の地域団体と連携して実施する取組"),"⑤設営・受付等会場管理","↓")</f>
        <v>⑤設営・受付等会場管理</v>
      </c>
      <c r="B72" s="562"/>
      <c r="C72" t="s">
        <v>284</v>
      </c>
    </row>
    <row r="73" spans="1:3" ht="35.4" customHeight="1" x14ac:dyDescent="0.45">
      <c r="A73" t="str">
        <f>IF(OR(B22="Ｃ　複数の単一町会・自治会が共同して実施する取組",B22="Ｄ　単一の町会・自治会が他の地域団体と連携して実施する取組"),"共同実施団体・連携実施団体１の役割","↓")</f>
        <v>共同実施団体・連携実施団体１の役割</v>
      </c>
      <c r="B73" s="235" t="s">
        <v>26</v>
      </c>
    </row>
    <row r="74" spans="1:3" ht="35.4" customHeight="1" x14ac:dyDescent="0.45">
      <c r="A74" s="309" t="str">
        <f>IF(OR(B22="Ｃ　複数の単一町会・自治会が共同して実施する取組",B22="Ｄ　単一の町会・自治会が他の地域団体と連携して実施する取組"),"①企画、進行管理","↓")</f>
        <v>①企画、進行管理</v>
      </c>
      <c r="B74" s="562"/>
      <c r="C74" t="s">
        <v>284</v>
      </c>
    </row>
    <row r="75" spans="1:3" ht="35.4" customHeight="1" x14ac:dyDescent="0.45">
      <c r="A75" s="309" t="str">
        <f>IF(OR(B22="Ｃ　複数の単一町会・自治会が共同して実施する取組",B22="Ｄ　単一の町会・自治会が他の地域団体と連携して実施する取組"),"②広報","↓")</f>
        <v>②広報</v>
      </c>
      <c r="B75" s="562"/>
      <c r="C75" t="s">
        <v>284</v>
      </c>
    </row>
    <row r="76" spans="1:3" ht="35.4" customHeight="1" x14ac:dyDescent="0.45">
      <c r="A76" s="309" t="str">
        <f>IF(OR(B22="Ｃ　複数の単一町会・自治会が共同して実施する取組",B22="Ｄ　単一の町会・自治会が他の地域団体と連携して実施する取組"),"③物品等調達・管理","↓")</f>
        <v>③物品等調達・管理</v>
      </c>
      <c r="B76" s="562"/>
      <c r="C76" t="s">
        <v>284</v>
      </c>
    </row>
    <row r="77" spans="1:3" ht="35.4" customHeight="1" x14ac:dyDescent="0.45">
      <c r="A77" s="309" t="str">
        <f>IF(OR(B22="Ｃ　複数の単一町会・自治会が共同して実施する取組",B22="Ｄ　単一の町会・自治会が他の地域団体と連携して実施する取組"),"④各種届出等連絡調整","↓")</f>
        <v>④各種届出等連絡調整</v>
      </c>
      <c r="B77" s="562"/>
      <c r="C77" t="s">
        <v>284</v>
      </c>
    </row>
    <row r="78" spans="1:3" ht="35.4" customHeight="1" x14ac:dyDescent="0.45">
      <c r="A78" s="309" t="str">
        <f>IF(OR(B22="Ｃ　複数の単一町会・自治会が共同して実施する取組",B22="Ｄ　単一の町会・自治会が他の地域団体と連携して実施する取組"),"⑤設営・受付等会場管理","↓")</f>
        <v>⑤設営・受付等会場管理</v>
      </c>
      <c r="B78" s="562"/>
      <c r="C78" t="s">
        <v>284</v>
      </c>
    </row>
    <row r="79" spans="1:3" ht="35.4" customHeight="1" x14ac:dyDescent="0.45">
      <c r="A79" t="str">
        <f>IF(A36="↓","↓",IF(B36&lt;&gt;"","共同実施団体・連携実施団体２の役割","↓"))</f>
        <v>↓</v>
      </c>
      <c r="B79" s="235" t="s">
        <v>26</v>
      </c>
    </row>
    <row r="80" spans="1:3" ht="35.4" customHeight="1" x14ac:dyDescent="0.45">
      <c r="A80" s="309" t="str">
        <f>IF(A36="↓","↓",IF(B36&lt;&gt;"","①企画、進行管理","↓"))</f>
        <v>↓</v>
      </c>
      <c r="B80" s="562"/>
      <c r="C80" t="s">
        <v>284</v>
      </c>
    </row>
    <row r="81" spans="1:3" ht="35.4" customHeight="1" x14ac:dyDescent="0.45">
      <c r="A81" s="309" t="str">
        <f>IF(A36="↓","↓",IF(B36&lt;&gt;"","②広報","↓"))</f>
        <v>↓</v>
      </c>
      <c r="B81" s="562"/>
      <c r="C81" t="s">
        <v>284</v>
      </c>
    </row>
    <row r="82" spans="1:3" ht="35.4" customHeight="1" x14ac:dyDescent="0.45">
      <c r="A82" s="309" t="str">
        <f>IF(A36="↓","↓",IF(B36&lt;&gt;"","③物品等調達・管理","↓"))</f>
        <v>↓</v>
      </c>
      <c r="B82" s="562"/>
      <c r="C82" t="s">
        <v>284</v>
      </c>
    </row>
    <row r="83" spans="1:3" ht="35.4" customHeight="1" x14ac:dyDescent="0.45">
      <c r="A83" s="309" t="str">
        <f>IF(A36="↓","↓",IF(B36&lt;&gt;"","④各種届出等連絡調整","↓"))</f>
        <v>↓</v>
      </c>
      <c r="B83" s="562"/>
      <c r="C83" t="s">
        <v>284</v>
      </c>
    </row>
    <row r="84" spans="1:3" ht="35.4" customHeight="1" x14ac:dyDescent="0.45">
      <c r="A84" s="309" t="str">
        <f>IF(A36="↓","↓",IF(B36&lt;&gt;"","⑤設営・受付等会場管理","↓"))</f>
        <v>↓</v>
      </c>
      <c r="B84" s="562"/>
      <c r="C84" t="s">
        <v>284</v>
      </c>
    </row>
    <row r="85" spans="1:3" ht="35.4" customHeight="1" x14ac:dyDescent="0.45">
      <c r="A85" t="str">
        <f>IF(A41="↓","↓",IF(B41&lt;&gt;"","共同実施団体・連携実施団体３の役割","↓"))</f>
        <v>↓</v>
      </c>
      <c r="B85" s="235" t="s">
        <v>26</v>
      </c>
    </row>
    <row r="86" spans="1:3" ht="35.4" customHeight="1" x14ac:dyDescent="0.45">
      <c r="A86" s="309" t="str">
        <f>IF(A41="↓","↓",IF(B41&lt;&gt;"","①企画、進行管理","↓"))</f>
        <v>↓</v>
      </c>
      <c r="B86" s="562"/>
      <c r="C86" t="s">
        <v>284</v>
      </c>
    </row>
    <row r="87" spans="1:3" ht="35.4" customHeight="1" x14ac:dyDescent="0.45">
      <c r="A87" s="309" t="str">
        <f>IF(A41="↓","↓",IF(B41&lt;&gt;"","②広報","↓"))</f>
        <v>↓</v>
      </c>
      <c r="B87" s="562"/>
      <c r="C87" t="s">
        <v>284</v>
      </c>
    </row>
    <row r="88" spans="1:3" ht="35.4" customHeight="1" x14ac:dyDescent="0.45">
      <c r="A88" s="309" t="str">
        <f>IF(A41="↓","↓",IF(B41&lt;&gt;"","③物品等調達・管理","↓"))</f>
        <v>↓</v>
      </c>
      <c r="B88" s="562"/>
      <c r="C88" t="s">
        <v>284</v>
      </c>
    </row>
    <row r="89" spans="1:3" ht="35.4" customHeight="1" x14ac:dyDescent="0.45">
      <c r="A89" s="309" t="str">
        <f>IF(A41="↓","↓",IF(B41&lt;&gt;"","④各種届出等連絡調整","↓"))</f>
        <v>↓</v>
      </c>
      <c r="B89" s="562"/>
      <c r="C89" t="s">
        <v>284</v>
      </c>
    </row>
    <row r="90" spans="1:3" ht="35.4" customHeight="1" x14ac:dyDescent="0.45">
      <c r="A90" s="309" t="str">
        <f>IF(A41="↓","↓",IF(B41&lt;&gt;"","⑤設営・受付等会場管理","↓"))</f>
        <v>↓</v>
      </c>
      <c r="B90" s="562"/>
      <c r="C90" t="s">
        <v>284</v>
      </c>
    </row>
    <row r="91" spans="1:3" ht="35.4" customHeight="1" x14ac:dyDescent="0.45">
      <c r="A91" t="str">
        <f>IF(A46="↓","↓",IF(B46&lt;&gt;"","共同実施団体・連携実施団体４の役割","↓"))</f>
        <v>↓</v>
      </c>
      <c r="B91" s="235" t="s">
        <v>26</v>
      </c>
    </row>
    <row r="92" spans="1:3" ht="35.4" customHeight="1" x14ac:dyDescent="0.45">
      <c r="A92" s="309" t="str">
        <f>IF(A46="↓","↓",IF(B46&lt;&gt;"","①企画、進行管理","↓"))</f>
        <v>↓</v>
      </c>
      <c r="B92" s="562"/>
      <c r="C92" t="s">
        <v>284</v>
      </c>
    </row>
    <row r="93" spans="1:3" ht="35.4" customHeight="1" x14ac:dyDescent="0.45">
      <c r="A93" s="309" t="str">
        <f>IF(A46="↓","↓",IF(B46&lt;&gt;"","②広報","↓"))</f>
        <v>↓</v>
      </c>
      <c r="B93" s="562"/>
      <c r="C93" t="s">
        <v>284</v>
      </c>
    </row>
    <row r="94" spans="1:3" ht="35.4" customHeight="1" x14ac:dyDescent="0.45">
      <c r="A94" s="309" t="str">
        <f>IF(A46="↓","↓",IF(B46&lt;&gt;"","③物品等調達・管理","↓"))</f>
        <v>↓</v>
      </c>
      <c r="B94" s="562"/>
      <c r="C94" t="s">
        <v>284</v>
      </c>
    </row>
    <row r="95" spans="1:3" ht="35.4" customHeight="1" x14ac:dyDescent="0.45">
      <c r="A95" s="309" t="str">
        <f>IF(A46="↓","↓",IF(B46&lt;&gt;"","④各種届出等連絡調整","↓"))</f>
        <v>↓</v>
      </c>
      <c r="B95" s="562"/>
      <c r="C95" t="s">
        <v>284</v>
      </c>
    </row>
    <row r="96" spans="1:3" ht="35.4" customHeight="1" x14ac:dyDescent="0.45">
      <c r="A96" s="309" t="str">
        <f>IF(A46="↓","↓",IF(B46&lt;&gt;"","⑤設営・受付等会場管理","↓"))</f>
        <v>↓</v>
      </c>
      <c r="B96" s="562"/>
      <c r="C96" t="s">
        <v>284</v>
      </c>
    </row>
    <row r="97" spans="1:3" ht="35.4" customHeight="1" x14ac:dyDescent="0.45">
      <c r="A97" t="str">
        <f>IF(A51="↓","↓",IF(B51&lt;&gt;"","共同実施団体・連携実施団体５の役割","↓"))</f>
        <v>↓</v>
      </c>
      <c r="B97" s="235" t="s">
        <v>26</v>
      </c>
    </row>
    <row r="98" spans="1:3" ht="35.4" customHeight="1" x14ac:dyDescent="0.45">
      <c r="A98" s="309" t="str">
        <f>IF(A51="↓","↓",IF(B51&lt;&gt;"","①企画、進行管理","↓"))</f>
        <v>↓</v>
      </c>
      <c r="B98" s="562"/>
      <c r="C98" t="s">
        <v>284</v>
      </c>
    </row>
    <row r="99" spans="1:3" ht="35.4" customHeight="1" x14ac:dyDescent="0.45">
      <c r="A99" s="309" t="str">
        <f>IF(A51="↓","↓",IF(B51&lt;&gt;"","②広報","↓"))</f>
        <v>↓</v>
      </c>
      <c r="B99" s="562"/>
      <c r="C99" t="s">
        <v>284</v>
      </c>
    </row>
    <row r="100" spans="1:3" ht="35.4" customHeight="1" x14ac:dyDescent="0.45">
      <c r="A100" s="309" t="str">
        <f>IF(A51="↓","↓",IF(B51&lt;&gt;"","③物品等調達・管理","↓"))</f>
        <v>↓</v>
      </c>
      <c r="B100" s="562"/>
      <c r="C100" t="s">
        <v>284</v>
      </c>
    </row>
    <row r="101" spans="1:3" ht="35.4" customHeight="1" x14ac:dyDescent="0.45">
      <c r="A101" s="309" t="str">
        <f>IF(A51="↓","↓",IF(B51&lt;&gt;"","④各種届出等連絡調整","↓"))</f>
        <v>↓</v>
      </c>
      <c r="B101" s="562"/>
      <c r="C101" t="s">
        <v>284</v>
      </c>
    </row>
    <row r="102" spans="1:3" ht="35.4" customHeight="1" x14ac:dyDescent="0.45">
      <c r="A102" s="309" t="str">
        <f>IF(A51="↓","↓",IF(B51&lt;&gt;"","⑤設営・受付等会場管理","↓"))</f>
        <v>↓</v>
      </c>
      <c r="B102" s="562"/>
      <c r="C102" t="s">
        <v>284</v>
      </c>
    </row>
    <row r="103" spans="1:3" ht="35.4" customHeight="1" x14ac:dyDescent="0.45">
      <c r="A103" t="str">
        <f>IF(A56="↓","↓",IF(B56&lt;&gt;"","共同実施団体・連携実施団体６の役割","↓"))</f>
        <v>↓</v>
      </c>
      <c r="B103" s="235" t="s">
        <v>26</v>
      </c>
    </row>
    <row r="104" spans="1:3" ht="35.4" customHeight="1" x14ac:dyDescent="0.45">
      <c r="A104" s="309" t="str">
        <f>IF(A56="↓","↓",IF(B56&lt;&gt;"","①企画、進行管理","↓"))</f>
        <v>↓</v>
      </c>
      <c r="B104" s="562"/>
      <c r="C104" t="s">
        <v>284</v>
      </c>
    </row>
    <row r="105" spans="1:3" ht="35.4" customHeight="1" x14ac:dyDescent="0.45">
      <c r="A105" s="309" t="str">
        <f>IF(A56="↓","↓",IF(B56&lt;&gt;"","②広報","↓"))</f>
        <v>↓</v>
      </c>
      <c r="B105" s="562"/>
      <c r="C105" t="s">
        <v>284</v>
      </c>
    </row>
    <row r="106" spans="1:3" ht="35.4" customHeight="1" x14ac:dyDescent="0.45">
      <c r="A106" s="309" t="str">
        <f>IF(A56="↓","↓",IF(B56&lt;&gt;"","③物品等調達・管理","↓"))</f>
        <v>↓</v>
      </c>
      <c r="B106" s="562"/>
      <c r="C106" t="s">
        <v>284</v>
      </c>
    </row>
    <row r="107" spans="1:3" ht="35.4" customHeight="1" x14ac:dyDescent="0.45">
      <c r="A107" s="309" t="str">
        <f>IF(A56="↓","↓",IF(B56&lt;&gt;"","④各種届出等連絡調整","↓"))</f>
        <v>↓</v>
      </c>
      <c r="B107" s="562"/>
      <c r="C107" t="s">
        <v>284</v>
      </c>
    </row>
    <row r="108" spans="1:3" ht="35.4" customHeight="1" x14ac:dyDescent="0.45">
      <c r="A108" s="309" t="str">
        <f>IF(A56="↓","↓",IF(B56&lt;&gt;"","⑤設営・受付等会場管理","↓"))</f>
        <v>↓</v>
      </c>
      <c r="B108" s="562"/>
      <c r="C108" t="s">
        <v>284</v>
      </c>
    </row>
    <row r="109" spans="1:3" ht="35.4" customHeight="1" x14ac:dyDescent="0.45">
      <c r="A109" t="str">
        <f>IF(A61="↓","↓",IF(B61&lt;&gt;"","共同実施団体・連携実施団体７の役割","↓"))</f>
        <v>↓</v>
      </c>
      <c r="B109" s="235" t="s">
        <v>26</v>
      </c>
    </row>
    <row r="110" spans="1:3" ht="35.4" customHeight="1" x14ac:dyDescent="0.45">
      <c r="A110" s="309" t="str">
        <f>IF(A61="↓","↓",IF(B61&lt;&gt;"","①企画、進行管理","↓"))</f>
        <v>↓</v>
      </c>
      <c r="B110" s="562"/>
      <c r="C110" t="s">
        <v>284</v>
      </c>
    </row>
    <row r="111" spans="1:3" ht="35.4" customHeight="1" x14ac:dyDescent="0.45">
      <c r="A111" s="309" t="str">
        <f>IF(A61="↓","↓",IF(B61&lt;&gt;"","②広報","↓"))</f>
        <v>↓</v>
      </c>
      <c r="B111" s="562"/>
      <c r="C111" t="s">
        <v>284</v>
      </c>
    </row>
    <row r="112" spans="1:3" ht="35.4" customHeight="1" x14ac:dyDescent="0.45">
      <c r="A112" s="309" t="str">
        <f>IF(A61="↓","↓",IF(B61&lt;&gt;"","③物品等調達・管理","↓"))</f>
        <v>↓</v>
      </c>
      <c r="B112" s="562"/>
      <c r="C112" t="s">
        <v>284</v>
      </c>
    </row>
    <row r="113" spans="1:4" ht="35.4" customHeight="1" x14ac:dyDescent="0.45">
      <c r="A113" s="309" t="str">
        <f>IF(A61="↓","↓",IF(B61&lt;&gt;"","④各種届出等連絡調整","↓"))</f>
        <v>↓</v>
      </c>
      <c r="B113" s="562"/>
      <c r="C113" t="s">
        <v>284</v>
      </c>
    </row>
    <row r="114" spans="1:4" ht="35.4" customHeight="1" x14ac:dyDescent="0.45">
      <c r="A114" s="309" t="str">
        <f>IF(A61="↓","↓",IF(B61&lt;&gt;"","⑤設営・受付等会場管理","↓"))</f>
        <v>↓</v>
      </c>
      <c r="B114" s="562"/>
      <c r="C114" t="s">
        <v>284</v>
      </c>
    </row>
    <row r="115" spans="1:4" ht="35.4" customHeight="1" x14ac:dyDescent="0.45">
      <c r="A115" t="s">
        <v>220</v>
      </c>
      <c r="B115" s="568"/>
      <c r="C115" t="s">
        <v>223</v>
      </c>
    </row>
    <row r="116" spans="1:4" ht="35.4" customHeight="1" x14ac:dyDescent="0.45">
      <c r="A116" t="s">
        <v>221</v>
      </c>
      <c r="B116" s="568"/>
      <c r="C116" t="s">
        <v>223</v>
      </c>
    </row>
    <row r="117" spans="1:4" ht="35.4" customHeight="1" x14ac:dyDescent="0.45">
      <c r="A117" t="s">
        <v>130</v>
      </c>
      <c r="B117" s="562"/>
    </row>
    <row r="118" spans="1:4" ht="35.4" customHeight="1" x14ac:dyDescent="0.45">
      <c r="A118" t="s">
        <v>131</v>
      </c>
      <c r="B118" s="562"/>
    </row>
    <row r="119" spans="1:4" ht="35.4" customHeight="1" x14ac:dyDescent="0.45">
      <c r="A119" t="s">
        <v>218</v>
      </c>
      <c r="B119" s="562"/>
    </row>
    <row r="120" spans="1:4" ht="35.4" customHeight="1" x14ac:dyDescent="0.45">
      <c r="A120" t="s">
        <v>219</v>
      </c>
      <c r="B120" s="562"/>
    </row>
    <row r="121" spans="1:4" ht="35.4" customHeight="1" x14ac:dyDescent="0.45">
      <c r="A121" t="str">
        <f>IF(B17="スマホ講習会（講義形式）","事業実施希望日(第一希望)","↓")</f>
        <v>↓</v>
      </c>
      <c r="B121" s="568"/>
      <c r="C121" t="s">
        <v>223</v>
      </c>
      <c r="D121" t="str">
        <f>IF(B121&lt;&gt;"",TEXT(B121,"（aaaa）"),"")</f>
        <v/>
      </c>
    </row>
    <row r="122" spans="1:4" ht="35.4" customHeight="1" x14ac:dyDescent="0.45">
      <c r="A122" t="str">
        <f>IF(B17="スマホ講習会（講義形式）","事業実施希望開始時間（第一希望）","↓")</f>
        <v>↓</v>
      </c>
      <c r="B122" s="569"/>
      <c r="C122" t="s">
        <v>222</v>
      </c>
      <c r="D122" t="str">
        <f>IFERROR(TEXT(B122&amp;"","h:mm"),"")</f>
        <v/>
      </c>
    </row>
    <row r="123" spans="1:4" ht="35.4" customHeight="1" x14ac:dyDescent="0.45">
      <c r="A123" s="118" t="str">
        <f>IF(B17="スマホ講習会（講義形式）","事業実施希望終了時間（第一希望）（自動入力）","↓")</f>
        <v>↓</v>
      </c>
      <c r="B123" s="282" t="str">
        <f>IF(B122&lt;&gt;"",B122+TIME(3,0,0),"")</f>
        <v/>
      </c>
    </row>
    <row r="124" spans="1:4" ht="35.4" customHeight="1" x14ac:dyDescent="0.45">
      <c r="A124" t="str">
        <f>IF(B17="スマホ講習会（講義形式）","事業実施希望日（第二希望）","↓")</f>
        <v>↓</v>
      </c>
      <c r="B124" s="568"/>
      <c r="C124" t="s">
        <v>223</v>
      </c>
      <c r="D124" t="str">
        <f>IF(B124&lt;&gt;"",TEXT(B124,"（aaaa）"),"")</f>
        <v/>
      </c>
    </row>
    <row r="125" spans="1:4" ht="35.4" customHeight="1" x14ac:dyDescent="0.45">
      <c r="A125" t="str">
        <f>IF(B17="スマホ講習会（講義形式）","事業実施希望開始時間（第二希望）","↓")</f>
        <v>↓</v>
      </c>
      <c r="B125" s="569"/>
      <c r="C125" t="s">
        <v>222</v>
      </c>
      <c r="D125" t="str">
        <f>IFERROR(TEXT(B125&amp;"","h:mm"),"")</f>
        <v/>
      </c>
    </row>
    <row r="126" spans="1:4" ht="35.4" customHeight="1" x14ac:dyDescent="0.45">
      <c r="A126" s="118" t="str">
        <f>IF(B17="スマホ講習会（講義形式）","事業実施希望終了時間（第ニ希望）（自動入力）","↓")</f>
        <v>↓</v>
      </c>
      <c r="B126" s="282" t="str">
        <f>IF(B125&lt;&gt;"",B125+TIME(3,0,0),"")</f>
        <v/>
      </c>
    </row>
    <row r="127" spans="1:4" ht="35.4" customHeight="1" x14ac:dyDescent="0.45">
      <c r="A127" t="str">
        <f>IF(B17="スマホ講習会（講義形式）","事業実施希望日（第三希望）","↓")</f>
        <v>↓</v>
      </c>
      <c r="B127" s="568"/>
      <c r="C127" t="s">
        <v>223</v>
      </c>
      <c r="D127" t="str">
        <f>IF(B127&lt;&gt;"",TEXT(B127,"（aaaa）"),"")</f>
        <v/>
      </c>
    </row>
    <row r="128" spans="1:4" ht="35.4" customHeight="1" x14ac:dyDescent="0.45">
      <c r="A128" t="str">
        <f>IF(B17="スマホ講習会（講義形式）","事業実施希望開始時間（第三希望）","↓")</f>
        <v>↓</v>
      </c>
      <c r="B128" s="569"/>
      <c r="C128" t="s">
        <v>222</v>
      </c>
      <c r="D128" t="str">
        <f>IFERROR(TEXT(B128&amp;"","h:mm"),"")</f>
        <v/>
      </c>
    </row>
    <row r="129" spans="1:6" ht="35.4" customHeight="1" x14ac:dyDescent="0.45">
      <c r="A129" s="118" t="str">
        <f>IF(B17="スマホ講習会（講義形式）","事業実施希望終了時間（第三希望）（自動入力）","↓")</f>
        <v>↓</v>
      </c>
      <c r="B129" s="282" t="str">
        <f>IF(B128&lt;&gt;"",B128+TIME(3,0,0),"")</f>
        <v/>
      </c>
    </row>
    <row r="130" spans="1:6" ht="35.4" customHeight="1" x14ac:dyDescent="0.45">
      <c r="A130" t="str">
        <f>IF(B17="スマホ講習会（講義形式）","受講定員","↓")</f>
        <v>↓</v>
      </c>
      <c r="B130" s="562"/>
      <c r="C130" t="s">
        <v>28</v>
      </c>
    </row>
    <row r="131" spans="1:6" ht="35.4" customHeight="1" x14ac:dyDescent="0.45">
      <c r="A131" t="str">
        <f>IF(B17="スマホ講習会（講義形式）","講習会で学びたい内容","↓")</f>
        <v>↓</v>
      </c>
      <c r="B131" s="562"/>
      <c r="C131" t="s">
        <v>28</v>
      </c>
    </row>
    <row r="132" spans="1:6" ht="35.4" customHeight="1" x14ac:dyDescent="0.45">
      <c r="A132" t="str">
        <f>IF(B17="スマホ相談会（マンツーマン形式）","事業実施希望日(第一希望)","↓")</f>
        <v>事業実施希望日(第一希望)</v>
      </c>
      <c r="B132" s="568"/>
      <c r="C132" t="s">
        <v>223</v>
      </c>
      <c r="D132" t="str">
        <f>IF(B132&lt;&gt;"",TEXT(B132,"（aaaa）"),"")</f>
        <v/>
      </c>
    </row>
    <row r="133" spans="1:6" ht="35.4" customHeight="1" x14ac:dyDescent="0.45">
      <c r="A133" t="str">
        <f>IF(B17="スマホ相談会（マンツーマン形式）","事業実施希望開始時間（第一希望）","↓")</f>
        <v>事業実施希望開始時間（第一希望）</v>
      </c>
      <c r="B133" s="569"/>
      <c r="C133" t="s">
        <v>222</v>
      </c>
      <c r="D133" t="str">
        <f>IFERROR(TEXT(B133&amp;"","h:mm"),"")</f>
        <v/>
      </c>
    </row>
    <row r="134" spans="1:6" ht="35.4" customHeight="1" x14ac:dyDescent="0.45">
      <c r="A134" t="str">
        <f>IF(B17="スマホ相談会（マンツーマン形式）","事業実施希望日（第二希望）","↓")</f>
        <v>事業実施希望日（第二希望）</v>
      </c>
      <c r="B134" s="568"/>
      <c r="C134" t="s">
        <v>223</v>
      </c>
      <c r="D134" t="str">
        <f>IF(B134&lt;&gt;"",TEXT(B134,"（aaaa）"),"")</f>
        <v/>
      </c>
    </row>
    <row r="135" spans="1:6" ht="35.4" customHeight="1" x14ac:dyDescent="0.45">
      <c r="A135" t="str">
        <f>IF(B17="スマホ相談会（マンツーマン形式）","事業実施希望開始時間（第二希望）","↓")</f>
        <v>事業実施希望開始時間（第二希望）</v>
      </c>
      <c r="B135" s="569"/>
      <c r="C135" t="s">
        <v>222</v>
      </c>
      <c r="D135" t="str">
        <f>IFERROR(TEXT(B135&amp;"","h:mm"),"")</f>
        <v/>
      </c>
    </row>
    <row r="136" spans="1:6" ht="35.4" customHeight="1" x14ac:dyDescent="0.45">
      <c r="A136" t="str">
        <f>IF(B17="スマホ相談会（マンツーマン形式）","事業実施希望日（第三希望）","↓")</f>
        <v>事業実施希望日（第三希望）</v>
      </c>
      <c r="B136" s="568"/>
      <c r="C136" t="s">
        <v>223</v>
      </c>
      <c r="D136" t="str">
        <f>IF(B136&lt;&gt;"",TEXT(B136,"（aaaa）"),"")</f>
        <v/>
      </c>
    </row>
    <row r="137" spans="1:6" ht="35.4" customHeight="1" x14ac:dyDescent="0.45">
      <c r="A137" t="str">
        <f>IF(B17="スマホ相談会（マンツーマン形式）","事業実施希望開始時間（第三希望）","↓")</f>
        <v>事業実施希望開始時間（第三希望）</v>
      </c>
      <c r="B137" s="569"/>
      <c r="C137" t="s">
        <v>222</v>
      </c>
      <c r="D137" t="str">
        <f>IFERROR(TEXT(B137&amp;"","h:mm"),"")</f>
        <v/>
      </c>
    </row>
    <row r="138" spans="1:6" ht="35.4" customHeight="1" x14ac:dyDescent="0.45">
      <c r="A138" t="str">
        <f>IF(B17="スマホ相談会（マンツーマン形式）","希望実施時間(A)（2時間・3時間・4時間から選択）","↓")</f>
        <v>希望実施時間(A)（2時間・3時間・4時間から選択）</v>
      </c>
      <c r="B138" s="570"/>
      <c r="C138" t="s">
        <v>28</v>
      </c>
      <c r="D138" t="str">
        <f>DBCS(B138)&amp;"時間"</f>
        <v>時間</v>
      </c>
      <c r="E138" t="str">
        <f>IF(D138="２時間","２時間（４名）",IF(D138="３時間","３時間（６名）",IF(D138="４時間","４時間（８名）","")))</f>
        <v/>
      </c>
    </row>
    <row r="139" spans="1:6" ht="35.4" customHeight="1" x14ac:dyDescent="0.45">
      <c r="A139" s="114" t="str">
        <f>IF(B17="スマホ相談会（マンツーマン形式）","（参考）アドバイザー１名当たりの相談可能人数（参加者１名当たりの相談が30分の場合）（自動入力）","↓")</f>
        <v>（参考）アドバイザー１名当たりの相談可能人数（参加者１名当たりの相談が30分の場合）（自動入力）</v>
      </c>
      <c r="B139" s="326" t="str">
        <f>IF(B138="","",B138*2)</f>
        <v/>
      </c>
      <c r="C139" t="s">
        <v>324</v>
      </c>
    </row>
    <row r="140" spans="1:6" ht="35.4" customHeight="1" x14ac:dyDescent="0.45">
      <c r="A140" t="str">
        <f>IF(B17="スマホ相談会（マンツーマン形式）","アドバイザー派遣希望数(B)（２名・４名・６名から選択）","↓")</f>
        <v>アドバイザー派遣希望数(B)（２名・４名・６名から選択）</v>
      </c>
      <c r="B140" s="562"/>
      <c r="C140" t="s">
        <v>28</v>
      </c>
      <c r="D140" t="str">
        <f>DBCS(B140)&amp;"名"</f>
        <v>名</v>
      </c>
    </row>
    <row r="141" spans="1:6" ht="35.4" customHeight="1" x14ac:dyDescent="0.45">
      <c r="A141" s="324" t="str">
        <f>IF(B17="スマホ相談会（マンツーマン形式）",IF(B140="","受講人数(数字のみ記入。A×Bの人数以下とすること)","受講人数(数字のみ記入。"&amp;E141&amp;"名以下とすること)"),"↓")</f>
        <v>受講人数(数字のみ記入。A×Bの人数以下とすること)</v>
      </c>
      <c r="B141" s="571"/>
      <c r="E141" s="325">
        <f>B138*2*B140</f>
        <v>0</v>
      </c>
      <c r="F141" t="s">
        <v>323</v>
      </c>
    </row>
    <row r="142" spans="1:6" ht="159.6" customHeight="1" x14ac:dyDescent="0.45">
      <c r="A142" s="323" t="str">
        <f>IF(B17="スマホ相談会（マンツーマン形式）","（参考）スマホ相談会（マンツーマン形式）　最大受講可能人数","↓")</f>
        <v>（参考）スマホ相談会（マンツーマン形式）　最大受講可能人数</v>
      </c>
      <c r="B142" s="56"/>
    </row>
    <row r="143" spans="1:6" ht="35.4" customHeight="1" x14ac:dyDescent="0.45">
      <c r="A143" t="s">
        <v>320</v>
      </c>
      <c r="B143" s="572"/>
    </row>
    <row r="144" spans="1:6" ht="35.4" customHeight="1" x14ac:dyDescent="0.45">
      <c r="A144" t="s">
        <v>321</v>
      </c>
      <c r="B144" s="562"/>
      <c r="C144" t="s">
        <v>28</v>
      </c>
      <c r="E144" t="str">
        <f>IF(B145="", "", "（"&amp;B144&amp;B145&amp;"）")</f>
        <v/>
      </c>
    </row>
    <row r="145" spans="1:3" ht="35.4" customHeight="1" x14ac:dyDescent="0.45">
      <c r="A145" t="s">
        <v>322</v>
      </c>
      <c r="B145" s="562"/>
      <c r="C145" t="s">
        <v>28</v>
      </c>
    </row>
    <row r="146" spans="1:3" ht="35.4" customHeight="1" x14ac:dyDescent="0.45">
      <c r="A146" t="s">
        <v>76</v>
      </c>
      <c r="B146" s="573"/>
    </row>
    <row r="147" spans="1:3" ht="35.4" customHeight="1" x14ac:dyDescent="0.45">
      <c r="A147" t="str">
        <f>IF(B146="","↓",IF(B146="いいえ","↓","謝礼金１の支出内容"))</f>
        <v>↓</v>
      </c>
      <c r="B147" s="574"/>
      <c r="C147" t="str">
        <f>IF(B148*IF(B149="一式",1,B149)&gt;50000, "見積書等の添付が必要です", "")</f>
        <v/>
      </c>
    </row>
    <row r="148" spans="1:3" ht="35.4" customHeight="1" x14ac:dyDescent="0.45">
      <c r="A148" t="str">
        <f>IF(B146="","↓",IF(B146="いいえ","↓","謝礼金１の単価（税込）"))</f>
        <v>↓</v>
      </c>
      <c r="B148" s="574"/>
    </row>
    <row r="149" spans="1:3" ht="35.4" customHeight="1" x14ac:dyDescent="0.45">
      <c r="A149" t="str">
        <f>IF(B146="","↓",IF(B146="いいえ","↓","謝礼金１の数量"))</f>
        <v>↓</v>
      </c>
      <c r="B149" s="574"/>
      <c r="C149" t="s">
        <v>336</v>
      </c>
    </row>
    <row r="150" spans="1:3" ht="35.4" customHeight="1" x14ac:dyDescent="0.45">
      <c r="A150" t="str">
        <f>IF(B146="","↓",IF(B146="いいえ","↓",IF(B147="","↓","謝礼金２の支出内容")))</f>
        <v>↓</v>
      </c>
      <c r="B150" s="574"/>
      <c r="C150" t="str">
        <f>IF(B151*IF(B152="一式",1,B152)&gt;50000, "見積書等の添付が必要です", "")</f>
        <v/>
      </c>
    </row>
    <row r="151" spans="1:3" ht="35.4" customHeight="1" x14ac:dyDescent="0.45">
      <c r="A151" t="str">
        <f>IF(B146="","↓",IF(B146="いいえ","↓",IF(B147="","↓","謝礼金２の単価（税込）")))</f>
        <v>↓</v>
      </c>
      <c r="B151" s="574"/>
    </row>
    <row r="152" spans="1:3" ht="35.4" customHeight="1" x14ac:dyDescent="0.45">
      <c r="A152" t="str">
        <f>IF(B146="","↓",IF(B146="いいえ","↓",IF(B147="","↓","謝礼金２の数量")))</f>
        <v>↓</v>
      </c>
      <c r="B152" s="574"/>
      <c r="C152" t="s">
        <v>336</v>
      </c>
    </row>
    <row r="153" spans="1:3" ht="35.4" customHeight="1" x14ac:dyDescent="0.45">
      <c r="A153" t="str">
        <f>IF(B146="","↓",IF(B146="いいえ","↓",IF(B150="","↓","謝礼金３の支出内容")))</f>
        <v>↓</v>
      </c>
      <c r="B153" s="574"/>
      <c r="C153" t="str">
        <f>IF(B154*IF(B155="一式",1,B155)&gt;50000, "見積書等の添付が必要です", "")</f>
        <v/>
      </c>
    </row>
    <row r="154" spans="1:3" ht="35.4" customHeight="1" x14ac:dyDescent="0.45">
      <c r="A154" t="str">
        <f>IF(B146="","↓",IF(B146="いいえ","↓",IF(B150="","↓","謝礼金３の単価（税込）")))</f>
        <v>↓</v>
      </c>
      <c r="B154" s="574"/>
    </row>
    <row r="155" spans="1:3" ht="35.4" customHeight="1" x14ac:dyDescent="0.45">
      <c r="A155" t="str">
        <f>IF(B146="","↓",IF(B146="いいえ","↓",IF(B150="","↓","謝礼金３の数量")))</f>
        <v>↓</v>
      </c>
      <c r="B155" s="574"/>
      <c r="C155" t="s">
        <v>336</v>
      </c>
    </row>
    <row r="156" spans="1:3" ht="35.4" customHeight="1" x14ac:dyDescent="0.45">
      <c r="A156" t="str">
        <f>IF(B146="","↓",IF(B146="いいえ","↓",IF(B153="","↓","謝礼金４の支出内容")))</f>
        <v>↓</v>
      </c>
      <c r="B156" s="574"/>
      <c r="C156" t="str">
        <f>IF(B157*IF(B158="一式",1,B158)&gt;50000, "見積書等の添付が必要です", "")</f>
        <v/>
      </c>
    </row>
    <row r="157" spans="1:3" ht="35.4" customHeight="1" x14ac:dyDescent="0.45">
      <c r="A157" t="str">
        <f>IF(B146="","↓",IF(B146="いいえ","↓",IF(B153="","↓","謝礼金４の単価（税込）")))</f>
        <v>↓</v>
      </c>
      <c r="B157" s="574"/>
    </row>
    <row r="158" spans="1:3" ht="35.4" customHeight="1" x14ac:dyDescent="0.45">
      <c r="A158" t="str">
        <f>IF(B146="","↓",IF(B146="いいえ","↓",IF(B153="","↓","謝礼金４の数量")))</f>
        <v>↓</v>
      </c>
      <c r="B158" s="574"/>
      <c r="C158" t="s">
        <v>336</v>
      </c>
    </row>
    <row r="159" spans="1:3" ht="35.4" customHeight="1" x14ac:dyDescent="0.45">
      <c r="A159" t="s">
        <v>77</v>
      </c>
      <c r="B159" s="573"/>
    </row>
    <row r="160" spans="1:3" ht="35.4" customHeight="1" x14ac:dyDescent="0.45">
      <c r="A160" s="13" t="str">
        <f>IF(B159="","↓",IF(B159="いいえ","↓","物品購入費１の支出内容（例：プロジェクター）"))</f>
        <v>↓</v>
      </c>
      <c r="B160" s="574"/>
      <c r="C160" t="str">
        <f>IF(B161*IF(B162="一式",1,B162)&gt;50000, "見積書等の添付が必要です", "")</f>
        <v/>
      </c>
    </row>
    <row r="161" spans="1:3" ht="35.4" customHeight="1" x14ac:dyDescent="0.45">
      <c r="A161" t="str">
        <f>IF(B159="","↓",IF(B159="いいえ","↓","物品購入費１の単価（税込）"))</f>
        <v>↓</v>
      </c>
      <c r="B161" s="574"/>
    </row>
    <row r="162" spans="1:3" ht="35.4" customHeight="1" x14ac:dyDescent="0.45">
      <c r="A162" t="str">
        <f>IF(B159="","↓",IF(B159="いいえ","↓","物品購入費１の数量"))</f>
        <v>↓</v>
      </c>
      <c r="B162" s="574"/>
      <c r="C162" t="s">
        <v>336</v>
      </c>
    </row>
    <row r="163" spans="1:3" ht="35.4" customHeight="1" x14ac:dyDescent="0.45">
      <c r="A163" t="str">
        <f>IF(B159="","↓",IF(B159="いいえ","↓",IF(B160="","↓","物品購入費２の支出内容")))</f>
        <v>↓</v>
      </c>
      <c r="B163" s="574"/>
      <c r="C163" t="str">
        <f>IF(B164*IF(B165="一式",1,B165)&gt;50000, "見積書等の添付が必要です", "")</f>
        <v/>
      </c>
    </row>
    <row r="164" spans="1:3" ht="35.4" customHeight="1" x14ac:dyDescent="0.45">
      <c r="A164" t="str">
        <f>IF(B159="","↓",IF(B159="いいえ","↓",IF(B160="","↓","物品購入費２の単価（税込）")))</f>
        <v>↓</v>
      </c>
      <c r="B164" s="574"/>
    </row>
    <row r="165" spans="1:3" ht="35.4" customHeight="1" x14ac:dyDescent="0.45">
      <c r="A165" t="str">
        <f>IF(B159="","↓",IF(B159="いいえ","↓",IF(B160="","↓","物品購入費２の数量")))</f>
        <v>↓</v>
      </c>
      <c r="B165" s="574"/>
      <c r="C165" t="s">
        <v>336</v>
      </c>
    </row>
    <row r="166" spans="1:3" ht="35.4" customHeight="1" x14ac:dyDescent="0.45">
      <c r="A166" t="str">
        <f>IF(B159="","↓",IF(B159="いいえ","↓",IF(B163="","↓","物品購入費３の支出内容")))</f>
        <v>↓</v>
      </c>
      <c r="B166" s="574"/>
      <c r="C166" t="str">
        <f>IF(B167*IF(B168="一式",1,B168)&gt;50000, "見積書等の添付が必要です", "")</f>
        <v/>
      </c>
    </row>
    <row r="167" spans="1:3" ht="35.4" customHeight="1" x14ac:dyDescent="0.45">
      <c r="A167" t="str">
        <f>IF(B159="","↓",IF(B159="いいえ","↓",IF(B163="", "↓","物品購入費３の単価（税込）")))</f>
        <v>↓</v>
      </c>
      <c r="B167" s="574"/>
    </row>
    <row r="168" spans="1:3" ht="35.4" customHeight="1" x14ac:dyDescent="0.45">
      <c r="A168" t="str">
        <f>IF(B159="","↓",IF(B159="いいえ","↓",IF(B163="","↓","物品購入費３の数量")))</f>
        <v>↓</v>
      </c>
      <c r="B168" s="574"/>
      <c r="C168" t="s">
        <v>336</v>
      </c>
    </row>
    <row r="169" spans="1:3" ht="35.4" customHeight="1" x14ac:dyDescent="0.45">
      <c r="A169" t="str">
        <f>IF(B159="","↓",IF(B159="いいえ","↓",IF(B166="","↓","物品購入費４の支出内容")))</f>
        <v>↓</v>
      </c>
      <c r="B169" s="574"/>
      <c r="C169" t="str">
        <f>IF(B170*IF(B171="一式",1,B171)&gt;50000, "見積書等の添付が必要です", "")</f>
        <v/>
      </c>
    </row>
    <row r="170" spans="1:3" ht="35.4" customHeight="1" x14ac:dyDescent="0.45">
      <c r="A170" t="str">
        <f>IF(B159="","↓",IF(B159="いいえ","↓",IF(B166="","↓","物品購入費４の単価（税込）")))</f>
        <v>↓</v>
      </c>
      <c r="B170" s="574"/>
    </row>
    <row r="171" spans="1:3" ht="35.4" customHeight="1" x14ac:dyDescent="0.45">
      <c r="A171" t="str">
        <f>IF(B159="","↓",IF(B159="いいえ","↓",IF(B166="","↓","物品購入費４の数量")))</f>
        <v>↓</v>
      </c>
      <c r="B171" s="574"/>
      <c r="C171" t="s">
        <v>336</v>
      </c>
    </row>
    <row r="172" spans="1:3" ht="35.4" customHeight="1" x14ac:dyDescent="0.45">
      <c r="A172" t="str">
        <f>IF(B159="","↓",IF(B159="いいえ","↓",IF(B169="","↓","物品購入費５の支出内容")))</f>
        <v>↓</v>
      </c>
      <c r="B172" s="574"/>
      <c r="C172" t="str">
        <f>IF(B173*IF(B174="一式",1,B174)&gt;50000, "見積書等の添付が必要です", "")</f>
        <v/>
      </c>
    </row>
    <row r="173" spans="1:3" ht="35.4" customHeight="1" x14ac:dyDescent="0.45">
      <c r="A173" t="str">
        <f>IF(B159="","↓",IF(B159="いいえ","↓",IF(B169="","↓","物品購入費５の単価（税込）")))</f>
        <v>↓</v>
      </c>
      <c r="B173" s="574"/>
    </row>
    <row r="174" spans="1:3" ht="35.4" customHeight="1" x14ac:dyDescent="0.45">
      <c r="A174" t="str">
        <f>IF(B159="","↓",IF(B159="いいえ","↓",IF(B169="","↓","物品購入費５の数量")))</f>
        <v>↓</v>
      </c>
      <c r="B174" s="574"/>
      <c r="C174" t="s">
        <v>336</v>
      </c>
    </row>
    <row r="175" spans="1:3" ht="35.4" customHeight="1" x14ac:dyDescent="0.45">
      <c r="A175" t="str">
        <f>IF(B159="","↓",IF(B159="いいえ","↓",IF(B172="","↓","物品購入費６の支出内容")))</f>
        <v>↓</v>
      </c>
      <c r="B175" s="574"/>
      <c r="C175" t="str">
        <f>IF(B176*IF(B177="一式",1,B177)&gt;50000, "見積書等の添付が必要です", "")</f>
        <v/>
      </c>
    </row>
    <row r="176" spans="1:3" ht="35.4" customHeight="1" x14ac:dyDescent="0.45">
      <c r="A176" t="str">
        <f>IF(B159="","↓",IF(B159="いいえ","↓",IF(B172="","↓","物品購入費６の単価（税込）")))</f>
        <v>↓</v>
      </c>
      <c r="B176" s="574"/>
    </row>
    <row r="177" spans="1:3" ht="35.4" customHeight="1" x14ac:dyDescent="0.45">
      <c r="A177" t="str">
        <f>IF(B159="","↓",IF(B159="いいえ","↓",IF(B172="","↓","物品購入費６の数量")))</f>
        <v>↓</v>
      </c>
      <c r="B177" s="574"/>
      <c r="C177" t="s">
        <v>336</v>
      </c>
    </row>
    <row r="178" spans="1:3" ht="35.4" customHeight="1" x14ac:dyDescent="0.45">
      <c r="A178" t="str">
        <f>IF(B159="","↓",IF(B159="いいえ","↓",IF(B175="","↓","物品購入費７の支出内容")))</f>
        <v>↓</v>
      </c>
      <c r="B178" s="574"/>
      <c r="C178" t="str">
        <f>IF(B179*IF(B180="一式",1,B180)&gt;50000, "見積書等の添付が必要です", "")</f>
        <v/>
      </c>
    </row>
    <row r="179" spans="1:3" ht="35.4" customHeight="1" x14ac:dyDescent="0.45">
      <c r="A179" t="str">
        <f>IF(B159="","↓",IF(B159="いいえ","↓",IF(B175="","↓","物品購入費７の単価（税込）")))</f>
        <v>↓</v>
      </c>
      <c r="B179" s="574"/>
    </row>
    <row r="180" spans="1:3" ht="35.4" customHeight="1" x14ac:dyDescent="0.45">
      <c r="A180" t="str">
        <f>IF(B159="","↓",IF(B159="いいえ","↓",IF(B175="","↓","物品購入費７の数量")))</f>
        <v>↓</v>
      </c>
      <c r="B180" s="574"/>
      <c r="C180" t="s">
        <v>336</v>
      </c>
    </row>
    <row r="181" spans="1:3" ht="35.4" customHeight="1" x14ac:dyDescent="0.45">
      <c r="A181" t="str">
        <f>IF(B159="","↓",IF(B159="いいえ","↓",IF(B178="","↓","物品購入費８の支出内容")))</f>
        <v>↓</v>
      </c>
      <c r="B181" s="574"/>
      <c r="C181" t="str">
        <f>IF(B182*IF(B183="一式",1,B183)&gt;50000, "見積書等の添付が必要です", "")</f>
        <v/>
      </c>
    </row>
    <row r="182" spans="1:3" ht="35.4" customHeight="1" x14ac:dyDescent="0.45">
      <c r="A182" t="str">
        <f>IF(B159="","↓",IF(B159="いいえ","↓",IF(B178="","↓","物品購入費８の単価（税込）")))</f>
        <v>↓</v>
      </c>
      <c r="B182" s="574"/>
    </row>
    <row r="183" spans="1:3" ht="35.4" customHeight="1" x14ac:dyDescent="0.45">
      <c r="A183" t="str">
        <f>IF(B159="","↓",IF(B159="いいえ","↓",IF(B178="","↓","物品購入費８の数量")))</f>
        <v>↓</v>
      </c>
      <c r="B183" s="574"/>
      <c r="C183" t="s">
        <v>336</v>
      </c>
    </row>
    <row r="184" spans="1:3" ht="35.4" customHeight="1" x14ac:dyDescent="0.45">
      <c r="A184" t="str">
        <f>IF(B159="","↓",IF(B159="いいえ","↓",IF(B181="","↓","物品購入費９の支出内容")))</f>
        <v>↓</v>
      </c>
      <c r="B184" s="574"/>
      <c r="C184" t="str">
        <f>IF(B185*IF(B186="一式",1,B186)&gt;50000, "見積書等の添付が必要です", "")</f>
        <v/>
      </c>
    </row>
    <row r="185" spans="1:3" ht="35.4" customHeight="1" x14ac:dyDescent="0.45">
      <c r="A185" t="str">
        <f>IF(B159="","↓",IF(B159="いいえ","↓",IF(B181="","↓","物品購入費９の単価（税込）")))</f>
        <v>↓</v>
      </c>
      <c r="B185" s="574"/>
    </row>
    <row r="186" spans="1:3" ht="35.4" customHeight="1" x14ac:dyDescent="0.45">
      <c r="A186" t="str">
        <f>IF(B159="","↓",IF(B159="いいえ","↓",IF(B181="","↓","物品購入費９の数量")))</f>
        <v>↓</v>
      </c>
      <c r="B186" s="574"/>
      <c r="C186" t="s">
        <v>336</v>
      </c>
    </row>
    <row r="187" spans="1:3" ht="35.4" customHeight="1" x14ac:dyDescent="0.45">
      <c r="A187" t="str">
        <f>IF(B159="","↓",IF(B159="いいえ","↓",IF(B184="","↓","物品購入費10の支出内容")))</f>
        <v>↓</v>
      </c>
      <c r="B187" s="574"/>
      <c r="C187" t="str">
        <f>IF(B188*IF(B189="一式",1,B189)&gt;50000, "見積書等の添付が必要です", "")</f>
        <v/>
      </c>
    </row>
    <row r="188" spans="1:3" ht="35.4" customHeight="1" x14ac:dyDescent="0.45">
      <c r="A188" t="str">
        <f>IF(B159="","↓",IF(B159="いいえ","↓",IF(B184="","↓","物品購入費10の単価（税込）")))</f>
        <v>↓</v>
      </c>
      <c r="B188" s="574"/>
    </row>
    <row r="189" spans="1:3" ht="35.4" customHeight="1" x14ac:dyDescent="0.45">
      <c r="A189" t="str">
        <f>IF(B159="","↓",IF(B159="いいえ","↓",IF(B184="","↓","物品購入費10の数量")))</f>
        <v>↓</v>
      </c>
      <c r="B189" s="574"/>
      <c r="C189" t="s">
        <v>336</v>
      </c>
    </row>
    <row r="190" spans="1:3" ht="35.4" customHeight="1" x14ac:dyDescent="0.45">
      <c r="A190" t="str">
        <f>IF(B159="","↓",IF(B159="いいえ","↓",IF(B187="","↓","物品購入費11の支出内容")))</f>
        <v>↓</v>
      </c>
      <c r="B190" s="574"/>
      <c r="C190" t="str">
        <f>IF(B191*IF(B192="一式",1,B192)&gt;50000, "見積書等の添付が必要です", "")</f>
        <v/>
      </c>
    </row>
    <row r="191" spans="1:3" ht="35.4" customHeight="1" x14ac:dyDescent="0.45">
      <c r="A191" t="str">
        <f>IF(B159="","↓",IF(B159="いいえ","↓",IF(B187="","↓","物品購入費11の単価（税込）")))</f>
        <v>↓</v>
      </c>
      <c r="B191" s="574"/>
    </row>
    <row r="192" spans="1:3" ht="35.4" customHeight="1" x14ac:dyDescent="0.45">
      <c r="A192" t="str">
        <f>IF(B159="","↓",IF(B159="いいえ","↓",IF(B187="","↓","物品購入費11の数量")))</f>
        <v>↓</v>
      </c>
      <c r="B192" s="574"/>
      <c r="C192" t="s">
        <v>336</v>
      </c>
    </row>
    <row r="193" spans="1:3" ht="35.4" customHeight="1" x14ac:dyDescent="0.45">
      <c r="A193" t="str">
        <f>IF(B159="","↓",IF(B159="いいえ","↓",IF(B190="","↓","物品購入費12の支出内容")))</f>
        <v>↓</v>
      </c>
      <c r="B193" s="574"/>
      <c r="C193" t="str">
        <f>IF(B194*IF(B195="一式",1,B195)&gt;50000, "見積書等の添付が必要です", "")</f>
        <v/>
      </c>
    </row>
    <row r="194" spans="1:3" ht="35.4" customHeight="1" x14ac:dyDescent="0.45">
      <c r="A194" t="str">
        <f>IF(B159="","↓",IF(B159="いいえ","↓",IF(B190="","↓","物品購入費12の単価（税込）")))</f>
        <v>↓</v>
      </c>
      <c r="B194" s="574"/>
    </row>
    <row r="195" spans="1:3" ht="35.4" customHeight="1" x14ac:dyDescent="0.45">
      <c r="A195" t="str">
        <f>IF(B159="","↓",IF(B159="いいえ","↓",IF(B190="","↓","物品購入費12の数量")))</f>
        <v>↓</v>
      </c>
      <c r="B195" s="574"/>
      <c r="C195" t="s">
        <v>336</v>
      </c>
    </row>
    <row r="196" spans="1:3" ht="35.4" customHeight="1" x14ac:dyDescent="0.45">
      <c r="A196" t="str">
        <f>IF(B159="","↓",IF(B159="いいえ","↓",IF(B193="","↓","物品購入費13の支出内容")))</f>
        <v>↓</v>
      </c>
      <c r="B196" s="574"/>
      <c r="C196" t="str">
        <f>IF(B197*IF(B198="一式",1,B198)&gt;50000, "見積書等の添付が必要です", "")</f>
        <v/>
      </c>
    </row>
    <row r="197" spans="1:3" ht="35.4" customHeight="1" x14ac:dyDescent="0.45">
      <c r="A197" t="str">
        <f>IF(B159="","↓",IF(B159="いいえ","↓",IF(B193="","↓","物品購入費13の単価（税込）")))</f>
        <v>↓</v>
      </c>
      <c r="B197" s="574"/>
    </row>
    <row r="198" spans="1:3" ht="35.4" customHeight="1" x14ac:dyDescent="0.45">
      <c r="A198" t="str">
        <f>IF(B159="","↓",IF(B159="いいえ","↓",IF(B193="","↓","物品購入費13の数量")))</f>
        <v>↓</v>
      </c>
      <c r="B198" s="574"/>
      <c r="C198" t="s">
        <v>336</v>
      </c>
    </row>
    <row r="199" spans="1:3" ht="35.4" customHeight="1" x14ac:dyDescent="0.45">
      <c r="A199" t="str">
        <f>IF(B159="","↓",IF(B159="いいえ","↓",IF(B196="","↓","物品購入費14の支出内容")))</f>
        <v>↓</v>
      </c>
      <c r="B199" s="574"/>
      <c r="C199" t="str">
        <f>IF(B200*IF(B201="一式",1,B201)&gt;50000, "見積書等の添付が必要です", "")</f>
        <v/>
      </c>
    </row>
    <row r="200" spans="1:3" ht="35.4" customHeight="1" x14ac:dyDescent="0.45">
      <c r="A200" t="str">
        <f>IF(B159="","↓",IF(B159="いいえ","↓",IF(B196="","↓","物品購入費14の単価（税込）")))</f>
        <v>↓</v>
      </c>
      <c r="B200" s="574"/>
    </row>
    <row r="201" spans="1:3" ht="35.4" customHeight="1" x14ac:dyDescent="0.45">
      <c r="A201" t="str">
        <f>IF(B159="","↓",IF(B159="いいえ","↓",IF(B196="","↓","物品購入費14の数量")))</f>
        <v>↓</v>
      </c>
      <c r="B201" s="574"/>
      <c r="C201" t="s">
        <v>336</v>
      </c>
    </row>
    <row r="202" spans="1:3" ht="35.4" customHeight="1" x14ac:dyDescent="0.45">
      <c r="A202" t="str">
        <f>IF(B159="","↓",IF(B159="いいえ","↓",IF(B199="","↓","物品購入費15の支出内容")))</f>
        <v>↓</v>
      </c>
      <c r="B202" s="574"/>
      <c r="C202" t="str">
        <f>IF(B203*IF(B204="一式",1,B204)&gt;50000, "見積書等の添付が必要です", "")</f>
        <v/>
      </c>
    </row>
    <row r="203" spans="1:3" ht="35.4" customHeight="1" x14ac:dyDescent="0.45">
      <c r="A203" t="str">
        <f>IF(B159="","↓",IF(B159="いいえ","↓",IF(B199="","↓","物品購入費15の単価（税込）")))</f>
        <v>↓</v>
      </c>
      <c r="B203" s="574"/>
    </row>
    <row r="204" spans="1:3" ht="35.4" customHeight="1" x14ac:dyDescent="0.45">
      <c r="A204" t="str">
        <f>IF(B159="","↓",IF(B159="いいえ","↓",IF(B199="","↓","物品購入費15の数量")))</f>
        <v>↓</v>
      </c>
      <c r="B204" s="574"/>
      <c r="C204" t="s">
        <v>336</v>
      </c>
    </row>
    <row r="205" spans="1:3" ht="35.4" customHeight="1" x14ac:dyDescent="0.45">
      <c r="A205" t="str">
        <f>IF(B159="","↓",IF(B159="いいえ","↓",IF(B202="","↓","物品購入費16の支出内容")))</f>
        <v>↓</v>
      </c>
      <c r="B205" s="574"/>
      <c r="C205" t="str">
        <f>IF(B206*IF(B207="一式",1,B207)&gt;50000, "見積書等の添付が必要です", "")</f>
        <v/>
      </c>
    </row>
    <row r="206" spans="1:3" ht="35.4" customHeight="1" x14ac:dyDescent="0.45">
      <c r="A206" t="str">
        <f>IF(B159="","↓",IF(B159="いいえ","↓",IF(B202="","↓","物品購入費16の単価（税込）")))</f>
        <v>↓</v>
      </c>
      <c r="B206" s="574"/>
    </row>
    <row r="207" spans="1:3" ht="35.4" customHeight="1" x14ac:dyDescent="0.45">
      <c r="A207" t="str">
        <f>IF(B159="","↓",IF(B159="いいえ","↓",IF(B202="","↓","物品購入費16の数量")))</f>
        <v>↓</v>
      </c>
      <c r="B207" s="574"/>
      <c r="C207" t="s">
        <v>336</v>
      </c>
    </row>
    <row r="208" spans="1:3" ht="35.4" customHeight="1" x14ac:dyDescent="0.45">
      <c r="A208" t="str">
        <f>IF(B159="","↓",IF(B159="いいえ","↓",IF(B205="","↓","物品購入費17の支出内容")))</f>
        <v>↓</v>
      </c>
      <c r="B208" s="574"/>
      <c r="C208" t="str">
        <f>IF(B209*IF(B210="一式",1,B210)&gt;50000, "見積書等の添付が必要です", "")</f>
        <v/>
      </c>
    </row>
    <row r="209" spans="1:3" ht="35.4" customHeight="1" x14ac:dyDescent="0.45">
      <c r="A209" t="str">
        <f>IF(B159="","↓",IF(B159="いいえ","↓",IF(B205="","↓","物品購入費17の単価（税込）")))</f>
        <v>↓</v>
      </c>
      <c r="B209" s="574"/>
    </row>
    <row r="210" spans="1:3" ht="35.4" customHeight="1" x14ac:dyDescent="0.45">
      <c r="A210" t="str">
        <f>IF(B159="","↓",IF(B159="いいえ","↓",IF(B205="","↓","物品購入費17の数量")))</f>
        <v>↓</v>
      </c>
      <c r="B210" s="574"/>
      <c r="C210" t="s">
        <v>336</v>
      </c>
    </row>
    <row r="211" spans="1:3" ht="35.4" customHeight="1" x14ac:dyDescent="0.45">
      <c r="A211" t="s">
        <v>78</v>
      </c>
      <c r="B211" s="573"/>
    </row>
    <row r="212" spans="1:3" ht="35.4" customHeight="1" x14ac:dyDescent="0.45">
      <c r="A212" s="13" t="str">
        <f>IF(B211="","↓",IF(B211="いいえ","↓","印刷経費１の支出内容（例：周知用ポスターの印刷30部)"))</f>
        <v>↓</v>
      </c>
      <c r="B212" s="574"/>
      <c r="C212" t="str">
        <f>IF(B213*IF(B214="一式",1,B214)&gt;50000, "見積書等の添付が必要です", "")</f>
        <v/>
      </c>
    </row>
    <row r="213" spans="1:3" ht="35.4" customHeight="1" x14ac:dyDescent="0.45">
      <c r="A213" t="str">
        <f>IF(B211="","↓",IF(B211="いいえ","↓","印刷経費１の単価（税込）"))</f>
        <v>↓</v>
      </c>
      <c r="B213" s="574"/>
    </row>
    <row r="214" spans="1:3" ht="35.4" customHeight="1" x14ac:dyDescent="0.45">
      <c r="A214" t="str">
        <f>IF(B211="","↓",IF(B211="いいえ","↓","印刷経費１の数量"))</f>
        <v>↓</v>
      </c>
      <c r="B214" s="574"/>
      <c r="C214" t="s">
        <v>336</v>
      </c>
    </row>
    <row r="215" spans="1:3" ht="35.4" customHeight="1" x14ac:dyDescent="0.45">
      <c r="A215" t="str">
        <f>IF(B211="","↓",IF(B211="いいえ","↓",IF(B212="","↓","印刷経費２の支出内容")))</f>
        <v>↓</v>
      </c>
      <c r="B215" s="574"/>
      <c r="C215" t="str">
        <f>IF(B216*IF(B217="一式",1,B217)&gt;50000, "見積書等の添付が必要です", "")</f>
        <v/>
      </c>
    </row>
    <row r="216" spans="1:3" ht="35.4" customHeight="1" x14ac:dyDescent="0.45">
      <c r="A216" t="str">
        <f>IF(B211="","↓",IF(B211="いいえ","↓",IF(B212="","↓","印刷経費２の単価（税込）")))</f>
        <v>↓</v>
      </c>
      <c r="B216" s="574"/>
    </row>
    <row r="217" spans="1:3" ht="35.4" customHeight="1" x14ac:dyDescent="0.45">
      <c r="A217" t="str">
        <f>IF(B211="","↓",IF(B211="いいえ","↓",IF(B212="","↓","印刷経費２の数量")))</f>
        <v>↓</v>
      </c>
      <c r="B217" s="574"/>
      <c r="C217" t="s">
        <v>336</v>
      </c>
    </row>
    <row r="218" spans="1:3" ht="35.4" customHeight="1" x14ac:dyDescent="0.45">
      <c r="A218" t="str">
        <f>IF(B211="","↓",IF(B211="いいえ","↓",IF(B215="","↓","印刷経費３の支出内容")))</f>
        <v>↓</v>
      </c>
      <c r="B218" s="574"/>
      <c r="C218" t="str">
        <f>IF(B219*IF(B220="一式",1,B220)&gt;50000, "見積書等の添付が必要です", "")</f>
        <v/>
      </c>
    </row>
    <row r="219" spans="1:3" ht="35.4" customHeight="1" x14ac:dyDescent="0.45">
      <c r="A219" t="str">
        <f>IF(B211="","↓",IF(B211="いいえ","↓",IF(B215="","↓","印刷経費３の単価（税込）")))</f>
        <v>↓</v>
      </c>
      <c r="B219" s="574"/>
    </row>
    <row r="220" spans="1:3" ht="35.4" customHeight="1" x14ac:dyDescent="0.45">
      <c r="A220" t="str">
        <f>IF(B211="","↓",IF(B211="いいえ","↓",IF(B215="","↓","印刷経費３の数量")))</f>
        <v>↓</v>
      </c>
      <c r="B220" s="574"/>
      <c r="C220" t="s">
        <v>336</v>
      </c>
    </row>
    <row r="221" spans="1:3" ht="35.4" customHeight="1" x14ac:dyDescent="0.45">
      <c r="A221" t="str">
        <f>IF(B211="","↓",IF(B211="いいえ","↓",IF(B218="","↓","印刷経費４の支出内容")))</f>
        <v>↓</v>
      </c>
      <c r="B221" s="574"/>
      <c r="C221" t="str">
        <f>IF(B222*IF(B223="一式",1,B223)&gt;50000, "見積書等の添付が必要です", "")</f>
        <v/>
      </c>
    </row>
    <row r="222" spans="1:3" ht="35.4" customHeight="1" x14ac:dyDescent="0.45">
      <c r="A222" t="str">
        <f>IF(B211="","↓",IF(B211="いいえ","↓",IF(B218="","↓","印刷経費４の単価（税込）")))</f>
        <v>↓</v>
      </c>
      <c r="B222" s="574"/>
    </row>
    <row r="223" spans="1:3" ht="35.4" customHeight="1" x14ac:dyDescent="0.45">
      <c r="A223" t="str">
        <f>IF(B211="","↓",IF(B211="いいえ","↓",IF(B218="","↓","印刷経費４の数量")))</f>
        <v>↓</v>
      </c>
      <c r="B223" s="574"/>
      <c r="C223" t="s">
        <v>336</v>
      </c>
    </row>
    <row r="224" spans="1:3" ht="35.4" customHeight="1" x14ac:dyDescent="0.45">
      <c r="A224" t="s">
        <v>79</v>
      </c>
      <c r="B224" s="573"/>
    </row>
    <row r="225" spans="1:3" ht="35.4" customHeight="1" x14ac:dyDescent="0.45">
      <c r="A225" s="13" t="str">
        <f>IF(B224="","↓",IF(B224="いいえ","↓","役務費１の支出内容（例：チラシのポスティング100世帯分）"))</f>
        <v>↓</v>
      </c>
      <c r="B225" s="574"/>
      <c r="C225" t="str">
        <f>IF(B226*IF(B227="一式",1,B227)&gt;50000, "見積書等の添付が必要です", "")</f>
        <v/>
      </c>
    </row>
    <row r="226" spans="1:3" ht="35.4" customHeight="1" x14ac:dyDescent="0.45">
      <c r="A226" t="str">
        <f>IF(B224="","↓",IF(B224="いいえ","↓","役務費１の単価（税込）"))</f>
        <v>↓</v>
      </c>
      <c r="B226" s="574"/>
    </row>
    <row r="227" spans="1:3" ht="35.4" customHeight="1" x14ac:dyDescent="0.45">
      <c r="A227" t="str">
        <f>IF(B224="","↓",IF(B224="いいえ","↓","役務費１の数量"))</f>
        <v>↓</v>
      </c>
      <c r="B227" s="574"/>
      <c r="C227" t="s">
        <v>336</v>
      </c>
    </row>
    <row r="228" spans="1:3" ht="35.4" customHeight="1" x14ac:dyDescent="0.45">
      <c r="A228" t="str">
        <f>IF(B224="","↓",IF(B224="いいえ","↓",IF(B225="","↓","役務費２の支出内容")))</f>
        <v>↓</v>
      </c>
      <c r="B228" s="574"/>
      <c r="C228" t="str">
        <f>IF(B229*IF(B230="一式",1,B230)&gt;50000, "見積書等の添付が必要です", "")</f>
        <v/>
      </c>
    </row>
    <row r="229" spans="1:3" ht="35.4" customHeight="1" x14ac:dyDescent="0.45">
      <c r="A229" t="str">
        <f>IF(B224="","↓",IF(B224="いいえ","↓",IF(B225="","↓","役務費２の単価（税込）")))</f>
        <v>↓</v>
      </c>
      <c r="B229" s="574"/>
    </row>
    <row r="230" spans="1:3" ht="35.4" customHeight="1" x14ac:dyDescent="0.45">
      <c r="A230" t="str">
        <f>IF(B224="","↓",IF(B224="いいえ","↓",IF(B225="","↓","役務費２の数量")))</f>
        <v>↓</v>
      </c>
      <c r="B230" s="574"/>
      <c r="C230" t="s">
        <v>336</v>
      </c>
    </row>
    <row r="231" spans="1:3" ht="35.4" customHeight="1" x14ac:dyDescent="0.45">
      <c r="A231" t="str">
        <f>IF(B224="","↓",IF(B224="いいえ","↓",IF(B228="","↓","役務費３の支出内容")))</f>
        <v>↓</v>
      </c>
      <c r="B231" s="574"/>
      <c r="C231" t="str">
        <f>IF(B232*IF(B233="一式",1,B233)&gt;50000, "見積書等の添付が必要です", "")</f>
        <v/>
      </c>
    </row>
    <row r="232" spans="1:3" ht="35.4" customHeight="1" x14ac:dyDescent="0.45">
      <c r="A232" t="str">
        <f>IF(B224="","↓",IF(B224="いいえ","↓",IF(B228="","↓","役務費３の単価（税込）")))</f>
        <v>↓</v>
      </c>
      <c r="B232" s="574"/>
    </row>
    <row r="233" spans="1:3" ht="35.4" customHeight="1" x14ac:dyDescent="0.45">
      <c r="A233" t="str">
        <f>IF(B224="","↓",IF(B224="いいえ","↓",IF(B228="","↓","役務費３の数量")))</f>
        <v>↓</v>
      </c>
      <c r="B233" s="574"/>
      <c r="C233" t="s">
        <v>336</v>
      </c>
    </row>
    <row r="234" spans="1:3" ht="35.4" customHeight="1" x14ac:dyDescent="0.45">
      <c r="A234" t="str">
        <f>IF(B224="","↓",IF(B224="いいえ","↓",IF(B231="","↓","役務費４の支出内容")))</f>
        <v>↓</v>
      </c>
      <c r="B234" s="574"/>
      <c r="C234" t="str">
        <f>IF(B235*IF(B236="一式",1,B236)&gt;50000, "見積書等の添付が必要です", "")</f>
        <v/>
      </c>
    </row>
    <row r="235" spans="1:3" ht="35.4" customHeight="1" x14ac:dyDescent="0.45">
      <c r="A235" t="str">
        <f>IF(B224="","↓",IF(B224="いいえ","↓",IF(B231="","↓","役務費４の単価（税込）")))</f>
        <v>↓</v>
      </c>
      <c r="B235" s="574"/>
    </row>
    <row r="236" spans="1:3" ht="35.4" customHeight="1" x14ac:dyDescent="0.45">
      <c r="A236" t="str">
        <f>IF(B224="","↓",IF(B224="いいえ","↓",IF(B231="","↓","役務費４の数量")))</f>
        <v>↓</v>
      </c>
      <c r="B236" s="574"/>
      <c r="C236" t="s">
        <v>336</v>
      </c>
    </row>
    <row r="237" spans="1:3" ht="35.4" customHeight="1" x14ac:dyDescent="0.45">
      <c r="A237" t="s">
        <v>80</v>
      </c>
      <c r="B237" s="573"/>
    </row>
    <row r="238" spans="1:3" ht="35.4" customHeight="1" x14ac:dyDescent="0.45">
      <c r="A238" s="564" t="str">
        <f>IF(B237="","↓",IF(B237="いいえ","↓","レンタル・リース料１の支出内容（例：Wi-Fiルーターレンタル・リース期間30日分）)"))</f>
        <v>↓</v>
      </c>
      <c r="B238" s="574"/>
      <c r="C238" t="str">
        <f>IF(B239*IF(B240="一式",1,B240)&gt;50000, "見積書等の添付が必要です", "")</f>
        <v/>
      </c>
    </row>
    <row r="239" spans="1:3" ht="35.4" customHeight="1" x14ac:dyDescent="0.45">
      <c r="A239" t="str">
        <f>IF(B237="","↓",IF(B237="いいえ","↓","レンタル・リース料１の単価（税込）"))</f>
        <v>↓</v>
      </c>
      <c r="B239" s="574"/>
    </row>
    <row r="240" spans="1:3" ht="35.4" customHeight="1" x14ac:dyDescent="0.45">
      <c r="A240" t="str">
        <f>IF(B237="","↓",IF(B237="いいえ","↓","レンタル・リース料１の数量"))</f>
        <v>↓</v>
      </c>
      <c r="B240" s="574"/>
      <c r="C240" t="s">
        <v>336</v>
      </c>
    </row>
    <row r="241" spans="1:3" ht="35.4" customHeight="1" x14ac:dyDescent="0.45">
      <c r="A241" t="str">
        <f>IF(B237="","↓",IF(B237="いいえ","↓",IF(B238="","↓","レンタル・リース料２の支出内容")))</f>
        <v>↓</v>
      </c>
      <c r="B241" s="574"/>
      <c r="C241" t="str">
        <f>IF(B242*IF(B243="一式",1,B243)&gt;50000, "見積書等の添付が必要です", "")</f>
        <v/>
      </c>
    </row>
    <row r="242" spans="1:3" ht="35.4" customHeight="1" x14ac:dyDescent="0.45">
      <c r="A242" t="str">
        <f>IF(B237="","↓",IF(B237="いいえ","↓",IF(B238="","↓","レンタル・リース料２の単価（税込）")))</f>
        <v>↓</v>
      </c>
      <c r="B242" s="574"/>
    </row>
    <row r="243" spans="1:3" ht="35.4" customHeight="1" x14ac:dyDescent="0.45">
      <c r="A243" t="str">
        <f>IF(B237="","↓",IF(B237="いいえ","↓",IF(B238="","↓","レンタル・リース料２の数量")))</f>
        <v>↓</v>
      </c>
      <c r="B243" s="574"/>
      <c r="C243" t="s">
        <v>336</v>
      </c>
    </row>
    <row r="244" spans="1:3" ht="35.4" customHeight="1" x14ac:dyDescent="0.45">
      <c r="A244" t="str">
        <f>IF(B237="","↓",IF(B237="いいえ","↓",IF(B241="","↓","レンタル・リース料３の支出内容")))</f>
        <v>↓</v>
      </c>
      <c r="B244" s="574"/>
      <c r="C244" t="str">
        <f>IF(B245*IF(B246="一式",1,B246)&gt;50000, "見積書等の添付が必要です", "")</f>
        <v/>
      </c>
    </row>
    <row r="245" spans="1:3" ht="35.4" customHeight="1" x14ac:dyDescent="0.45">
      <c r="A245" t="str">
        <f>IF(B237="","↓",IF(B237="いいえ","↓",IF(B241="","↓","レンタル・リース料３の単価（税込）")))</f>
        <v>↓</v>
      </c>
      <c r="B245" s="574"/>
    </row>
    <row r="246" spans="1:3" ht="35.4" customHeight="1" x14ac:dyDescent="0.45">
      <c r="A246" t="str">
        <f>IF(B237="","↓",IF(B237="いいえ","↓",IF(B241="","↓","レンタル・リース料３の数量")))</f>
        <v>↓</v>
      </c>
      <c r="B246" s="574"/>
      <c r="C246" t="s">
        <v>336</v>
      </c>
    </row>
    <row r="247" spans="1:3" ht="35.4" customHeight="1" x14ac:dyDescent="0.45">
      <c r="A247" t="str">
        <f>IF(B237="","↓",IF(B237="いいえ","↓",IF(B244="","↓","レンタル・リース料４の支出内容")))</f>
        <v>↓</v>
      </c>
      <c r="B247" s="574"/>
      <c r="C247" t="str">
        <f>IF(B248*IF(B249="一式",1,B249)&gt;50000, "見積書等の添付が必要です", "")</f>
        <v/>
      </c>
    </row>
    <row r="248" spans="1:3" ht="35.4" customHeight="1" x14ac:dyDescent="0.45">
      <c r="A248" t="str">
        <f>IF(B237="","↓",IF(B237="いいえ","↓",IF(B244="","↓","レンタル・リース料４の単価（税込）")))</f>
        <v>↓</v>
      </c>
      <c r="B248" s="574"/>
    </row>
    <row r="249" spans="1:3" ht="35.4" customHeight="1" x14ac:dyDescent="0.45">
      <c r="A249" t="str">
        <f>IF(B237="","↓",IF(B237="いいえ","↓",IF(B244="","↓","レンタル・リース料４の数量")))</f>
        <v>↓</v>
      </c>
      <c r="B249" s="574"/>
      <c r="C249" t="s">
        <v>336</v>
      </c>
    </row>
    <row r="250" spans="1:3" ht="35.4" customHeight="1" x14ac:dyDescent="0.45">
      <c r="A250" t="s">
        <v>81</v>
      </c>
      <c r="B250" s="573"/>
    </row>
    <row r="251" spans="1:3" ht="35.4" customHeight="1" x14ac:dyDescent="0.45">
      <c r="A251" s="13" t="str">
        <f>IF(B250="","↓",IF(B250="いいえ","↓","助成対象外経費１の支出内容"))</f>
        <v>↓</v>
      </c>
      <c r="B251" s="574"/>
    </row>
    <row r="252" spans="1:3" ht="35.4" customHeight="1" x14ac:dyDescent="0.45">
      <c r="A252" t="str">
        <f>IF(B250="","↓",IF(B250="いいえ","↓","助成対象外経費１の単価（税込）"))</f>
        <v>↓</v>
      </c>
      <c r="B252" s="574"/>
    </row>
    <row r="253" spans="1:3" ht="35.4" customHeight="1" x14ac:dyDescent="0.45">
      <c r="A253" t="str">
        <f>IF(B250="","↓",IF(B250="いいえ","↓","助成対象外経費１の数量"))</f>
        <v>↓</v>
      </c>
      <c r="B253" s="574"/>
      <c r="C253" t="s">
        <v>336</v>
      </c>
    </row>
    <row r="254" spans="1:3" ht="35.4" customHeight="1" x14ac:dyDescent="0.45">
      <c r="A254" t="str">
        <f>IF(B250="","↓",IF(B250="いいえ","↓",IF(B251="","↓","助成対象外経費２の支出内容")))</f>
        <v>↓</v>
      </c>
      <c r="B254" s="574"/>
    </row>
    <row r="255" spans="1:3" ht="35.4" customHeight="1" x14ac:dyDescent="0.45">
      <c r="A255" t="str">
        <f>IF(B250="","↓",IF(B250="いいえ","↓",IF(B251="","↓","助成対象外経費２の単価（税込）")))</f>
        <v>↓</v>
      </c>
      <c r="B255" s="574"/>
    </row>
    <row r="256" spans="1:3" ht="35.4" customHeight="1" x14ac:dyDescent="0.45">
      <c r="A256" t="str">
        <f>IF(B250="","↓",IF(B250="いいえ","↓",IF(B251="","↓","助成対象外経費２の数量")))</f>
        <v>↓</v>
      </c>
      <c r="B256" s="574"/>
      <c r="C256" t="s">
        <v>336</v>
      </c>
    </row>
    <row r="257" spans="1:5" ht="35.4" customHeight="1" x14ac:dyDescent="0.45">
      <c r="A257" t="str">
        <f>IF(B250="","↓",IF(B250="いいえ","↓",IF(B254="","↓","助成対象外経費３の支出内容")))</f>
        <v>↓</v>
      </c>
      <c r="B257" s="574"/>
    </row>
    <row r="258" spans="1:5" ht="35.4" customHeight="1" x14ac:dyDescent="0.45">
      <c r="A258" t="str">
        <f>IF(B250="","↓",IF(B250="いいえ","↓",IF(B254="","↓","助成対象外経費３の単価（税込）")))</f>
        <v>↓</v>
      </c>
      <c r="B258" s="574"/>
    </row>
    <row r="259" spans="1:5" ht="35.4" customHeight="1" x14ac:dyDescent="0.45">
      <c r="A259" t="str">
        <f>IF(B250="","↓",IF(B250="いいえ","↓",IF(B254="","↓","助成対象外経費３の数量")))</f>
        <v>↓</v>
      </c>
      <c r="B259" s="574"/>
      <c r="C259" t="s">
        <v>336</v>
      </c>
    </row>
    <row r="260" spans="1:5" ht="35.4" customHeight="1" x14ac:dyDescent="0.45">
      <c r="A260" t="str">
        <f>IF(B250="","↓",IF(B250="いいえ","↓",IF(B257="","↓","助成対象外経費４の支出内容")))</f>
        <v>↓</v>
      </c>
      <c r="B260" s="574"/>
    </row>
    <row r="261" spans="1:5" ht="35.4" customHeight="1" x14ac:dyDescent="0.45">
      <c r="A261" t="str">
        <f>IF(B250="","↓",IF(B250="いいえ","↓",IF(B257="","↓","助成対象外経費４の単価（税込）")))</f>
        <v>↓</v>
      </c>
      <c r="B261" s="574"/>
    </row>
    <row r="262" spans="1:5" ht="35.4" customHeight="1" x14ac:dyDescent="0.45">
      <c r="A262" t="str">
        <f>IF(B250="","↓",IF(B250="いいえ","↓",IF(B257="","↓","助成対象外経費４の数量")))</f>
        <v>↓</v>
      </c>
      <c r="B262" s="574"/>
      <c r="C262" t="s">
        <v>336</v>
      </c>
    </row>
    <row r="263" spans="1:5" ht="35.4" customHeight="1" x14ac:dyDescent="0.45">
      <c r="A263" s="13" t="s">
        <v>226</v>
      </c>
      <c r="B263" s="573"/>
    </row>
    <row r="264" spans="1:5" ht="35.4" customHeight="1" x14ac:dyDescent="0.45">
      <c r="A264" s="13" t="str">
        <f>IF(B263="","↓",IF(B263="いいえ","↓","助成金以外の収入の種類（例：寄付金）"))</f>
        <v>↓</v>
      </c>
      <c r="B264" s="574"/>
    </row>
    <row r="265" spans="1:5" ht="35.4" customHeight="1" x14ac:dyDescent="0.45">
      <c r="A265" t="str">
        <f>IF(B263="","↓",IF(B263="いいえ","↓","助成金以外の収入の金額"))</f>
        <v>↓</v>
      </c>
      <c r="B265" s="574"/>
      <c r="D265">
        <f>IF(B265="",0,"")</f>
        <v>0</v>
      </c>
    </row>
    <row r="266" spans="1:5" x14ac:dyDescent="0.45">
      <c r="A266" s="118" t="s">
        <v>83</v>
      </c>
      <c r="B266" s="237">
        <f>IF(B3="都町連",2000000,IF(B3="町自連",2000000,IF(B3="地区連",1000000,IF(B22="Ｃ　複数の単一町会・自治会が共同して実施する取組",500000,IF(B22="Ｄ　単一の町会・自治会が他の地域団体と連携して実施する取組",300000,IF(B3="単一",200000,""))))))</f>
        <v>500000</v>
      </c>
    </row>
    <row r="267" spans="1:5" x14ac:dyDescent="0.45">
      <c r="A267" s="118" t="s">
        <v>84</v>
      </c>
      <c r="B267" s="237" t="str">
        <f>収支予算書!J50</f>
        <v/>
      </c>
    </row>
    <row r="268" spans="1:5" x14ac:dyDescent="0.45">
      <c r="A268" s="118" t="s">
        <v>85</v>
      </c>
      <c r="B268" s="237" t="str">
        <f>収支予算書!J57</f>
        <v/>
      </c>
    </row>
    <row r="269" spans="1:5" x14ac:dyDescent="0.45">
      <c r="A269" s="118" t="s">
        <v>86</v>
      </c>
      <c r="B269" s="237" t="str">
        <f>IFERROR(B268-B265-B270,"")</f>
        <v/>
      </c>
    </row>
    <row r="270" spans="1:5" x14ac:dyDescent="0.45">
      <c r="A270" s="117" t="s">
        <v>87</v>
      </c>
      <c r="B270" s="237" t="str">
        <f>IFERROR(IF(B268-E270&gt;IF(B265="",0,B265),E270,ROUNDDOWN(B268-IF(B265="",0,B265),-3)),"")</f>
        <v/>
      </c>
      <c r="E270" s="55" t="str">
        <f>IFERROR(IF(ROUNDDOWN(B267*B23,-3)&gt;B266,B266,ROUNDDOWN(B267*B23,-3)),"")</f>
        <v/>
      </c>
    </row>
    <row r="272" spans="1:5" x14ac:dyDescent="0.45">
      <c r="A272" t="s">
        <v>347</v>
      </c>
    </row>
    <row r="273" spans="1:1" x14ac:dyDescent="0.45">
      <c r="A273" s="309" t="s">
        <v>348</v>
      </c>
    </row>
    <row r="274" spans="1:1" x14ac:dyDescent="0.45">
      <c r="A274" s="309" t="s">
        <v>349</v>
      </c>
    </row>
    <row r="275" spans="1:1" x14ac:dyDescent="0.45">
      <c r="A275" s="309" t="s">
        <v>350</v>
      </c>
    </row>
    <row r="276" spans="1:1" x14ac:dyDescent="0.45">
      <c r="A276" s="309" t="s">
        <v>351</v>
      </c>
    </row>
    <row r="277" spans="1:1" x14ac:dyDescent="0.45">
      <c r="A277" t="s">
        <v>352</v>
      </c>
    </row>
    <row r="278" spans="1:1" x14ac:dyDescent="0.45">
      <c r="A278" s="309" t="s">
        <v>353</v>
      </c>
    </row>
    <row r="279" spans="1:1" x14ac:dyDescent="0.45">
      <c r="A279" s="309" t="s">
        <v>354</v>
      </c>
    </row>
    <row r="280" spans="1:1" x14ac:dyDescent="0.45">
      <c r="A280" s="309" t="s">
        <v>355</v>
      </c>
    </row>
    <row r="281" spans="1:1" x14ac:dyDescent="0.45">
      <c r="A281" s="309" t="s">
        <v>356</v>
      </c>
    </row>
    <row r="282" spans="1:1" x14ac:dyDescent="0.45">
      <c r="A282" t="s">
        <v>357</v>
      </c>
    </row>
    <row r="283" spans="1:1" x14ac:dyDescent="0.45">
      <c r="A283" s="309" t="s">
        <v>353</v>
      </c>
    </row>
    <row r="284" spans="1:1" x14ac:dyDescent="0.45">
      <c r="A284" s="309" t="s">
        <v>358</v>
      </c>
    </row>
    <row r="285" spans="1:1" x14ac:dyDescent="0.45">
      <c r="A285" s="309" t="s">
        <v>359</v>
      </c>
    </row>
  </sheetData>
  <phoneticPr fontId="1"/>
  <conditionalFormatting sqref="A31:A116 A121:A142 A147:A265">
    <cfRule type="containsText" dxfId="81" priority="501" operator="containsText" text="↓">
      <formula>NOT(ISERROR(SEARCH("↓",A31)))</formula>
    </cfRule>
  </conditionalFormatting>
  <conditionalFormatting sqref="A146:A265">
    <cfRule type="containsBlanks" dxfId="80" priority="502">
      <formula>LEN(TRIM(A146))=0</formula>
    </cfRule>
  </conditionalFormatting>
  <conditionalFormatting sqref="A19:B21">
    <cfRule type="expression" dxfId="79" priority="4">
      <formula>$A19="↓"</formula>
    </cfRule>
  </conditionalFormatting>
  <conditionalFormatting sqref="B31:B65 B68:B72 B74:B78 B80:B84 B86:B90 B92:B96 B98:B102 B104:B108 B110:B114 B121:B142">
    <cfRule type="expression" dxfId="78" priority="429">
      <formula>$A31="↓"</formula>
    </cfRule>
  </conditionalFormatting>
  <conditionalFormatting sqref="B147:B158">
    <cfRule type="expression" dxfId="77" priority="396">
      <formula>$A147="↓"</formula>
    </cfRule>
  </conditionalFormatting>
  <conditionalFormatting sqref="B160:B210">
    <cfRule type="expression" dxfId="76" priority="255">
      <formula>$A160="↓"</formula>
    </cfRule>
  </conditionalFormatting>
  <conditionalFormatting sqref="B212:B223">
    <cfRule type="expression" dxfId="75" priority="231">
      <formula>$A212="↓"</formula>
    </cfRule>
  </conditionalFormatting>
  <conditionalFormatting sqref="B225:B236">
    <cfRule type="expression" dxfId="74" priority="207">
      <formula>$A225="↓"</formula>
    </cfRule>
  </conditionalFormatting>
  <conditionalFormatting sqref="B238:B249">
    <cfRule type="expression" dxfId="73" priority="59">
      <formula>$A238="↓"</formula>
    </cfRule>
  </conditionalFormatting>
  <conditionalFormatting sqref="B251:B262">
    <cfRule type="expression" dxfId="72" priority="35">
      <formula>$A251="↓"</formula>
    </cfRule>
  </conditionalFormatting>
  <conditionalFormatting sqref="B264:B265">
    <cfRule type="expression" dxfId="71" priority="33">
      <formula>$A264="↓"</formula>
    </cfRule>
  </conditionalFormatting>
  <conditionalFormatting sqref="A24:A30">
    <cfRule type="expression" dxfId="16" priority="3">
      <formula>$A24="↓"</formula>
    </cfRule>
  </conditionalFormatting>
  <conditionalFormatting sqref="B25:B26">
    <cfRule type="expression" dxfId="15" priority="2">
      <formula>$A25="↓"</formula>
    </cfRule>
  </conditionalFormatting>
  <conditionalFormatting sqref="B28:B30">
    <cfRule type="expression" dxfId="14" priority="1">
      <formula>$A28="↓"</formula>
    </cfRule>
  </conditionalFormatting>
  <dataValidations count="16">
    <dataValidation type="list" allowBlank="1" showInputMessage="1" showErrorMessage="1" sqref="B21" xr:uid="{00000000-0002-0000-0000-000000000000}">
      <formula1>"ある, ない"</formula1>
    </dataValidation>
    <dataValidation allowBlank="1" showInputMessage="1" showErrorMessage="1" prompt="式が入力されているので削除しないでください" sqref="B23" xr:uid="{00000000-0002-0000-0000-000001000000}"/>
    <dataValidation type="list" allowBlank="1" showInputMessage="1" showErrorMessage="1" sqref="B146 B159 B211 B224 B237 B250 B263" xr:uid="{00000000-0002-0000-0000-000002000000}">
      <formula1>"はい,いいえ"</formula1>
    </dataValidation>
    <dataValidation type="list" allowBlank="1" showInputMessage="1" showErrorMessage="1" sqref="B3" xr:uid="{00000000-0002-0000-0000-000003000000}">
      <formula1>"単一,地区連,町自連,都町連"</formula1>
    </dataValidation>
    <dataValidation type="list" allowBlank="1" showInputMessage="1" sqref="B17" xr:uid="{00000000-0002-0000-0000-000004000000}">
      <formula1>"スマホ講習会（講義形式）,スマホ相談会（マンツーマン形式）"</formula1>
    </dataValidation>
    <dataValidation type="list" allowBlank="1" showInputMessage="1" sqref="B18" xr:uid="{00000000-0002-0000-0000-000005000000}">
      <formula1>"行う,行わない"</formula1>
    </dataValidation>
    <dataValidation type="list" allowBlank="1" showInputMessage="1" sqref="B19:B20" xr:uid="{00000000-0002-0000-0000-000006000000}">
      <formula1>"実施する,実施しない"</formula1>
    </dataValidation>
    <dataValidation type="list" allowBlank="1" showInputMessage="1" showErrorMessage="1" sqref="B130" xr:uid="{00000000-0002-0000-0000-000007000000}">
      <formula1>"10名（最低５名以上の受講が必要）,20名,30名"</formula1>
    </dataValidation>
    <dataValidation type="list" allowBlank="1" showInputMessage="1" showErrorMessage="1" sqref="B131" xr:uid="{00000000-0002-0000-0000-000008000000}">
      <formula1>"基本操作（スマホの操作（タップ、スワイプ等）、アプリのインストール、電話・メールの使用方法等）,コミュニケーション（SNS（LINE、X（旧Twitter）等）、ビデオ通話等）の基礎,情報収集（インターネット、ニュース、動画等）の基礎,申請・決済（インターネットショッピング・キャッシュレス決済等）の基礎"</formula1>
    </dataValidation>
    <dataValidation type="list" allowBlank="1" showInputMessage="1" sqref="B138" xr:uid="{00000000-0002-0000-0000-000009000000}">
      <formula1>"2,3,4"</formula1>
    </dataValidation>
    <dataValidation type="list" allowBlank="1" showInputMessage="1" showErrorMessage="1" sqref="B68:B72 B74:B78 B80:B84 B110:B114 B98:B102 B104:B108 B86:B90 B92:B96 B25:B26" xr:uid="{F971A628-7866-46AC-8898-A5B06BFB4843}">
      <formula1>"☑"</formula1>
    </dataValidation>
    <dataValidation type="list" allowBlank="1" showInputMessage="1" showErrorMessage="1" sqref="B140" xr:uid="{552882DC-6A78-4449-BE17-5B43E37FEFE8}">
      <formula1>"2,4,6"</formula1>
    </dataValidation>
    <dataValidation type="list" allowBlank="1" showInputMessage="1" showErrorMessage="1" sqref="B145" xr:uid="{FA44875F-4BCD-4B6A-833E-A1F5A69959F2}">
      <formula1>"１月末現在,２月末現在,３月末現在,４月末現在,５月末現在,６月末現在,７月末現在,８月末現在,９月末現在,10月末現在,11月末現在,12月末現在"</formula1>
    </dataValidation>
    <dataValidation type="list" allowBlank="1" showInputMessage="1" showErrorMessage="1" sqref="B144" xr:uid="{B582C352-66EF-4FED-84A9-AFFB290E4C7E}">
      <formula1>"令和５年,令和６年,令和７年"</formula1>
    </dataValidation>
    <dataValidation allowBlank="1" showInputMessage="1" sqref="B139" xr:uid="{60AF9FAE-5BC0-4A33-9FEE-E56E9E49EC8C}"/>
    <dataValidation type="list" allowBlank="1" showInputMessage="1" sqref="B28:B30" xr:uid="{7F3DBF37-135D-4583-A145-74497AFB01B3}">
      <formula1>"含んでいない"</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8"/>
  <sheetViews>
    <sheetView view="pageBreakPreview" zoomScaleNormal="100" zoomScaleSheetLayoutView="100" workbookViewId="0">
      <selection activeCell="A26" sqref="A26"/>
    </sheetView>
  </sheetViews>
  <sheetFormatPr defaultRowHeight="13.2" x14ac:dyDescent="0.45"/>
  <cols>
    <col min="1" max="1" width="2.8984375" style="8" customWidth="1"/>
    <col min="2" max="2" width="4.796875" style="8" customWidth="1"/>
    <col min="3" max="3" width="2.3984375" style="8" customWidth="1"/>
    <col min="4" max="5" width="6" style="8" customWidth="1"/>
    <col min="6" max="6" width="17.59765625" style="8" customWidth="1"/>
    <col min="7" max="7" width="4.796875" style="8" customWidth="1"/>
    <col min="8" max="8" width="5.19921875" style="8" customWidth="1"/>
    <col min="9" max="9" width="4.69921875" style="8" customWidth="1"/>
    <col min="10" max="10" width="2.296875" style="8" customWidth="1"/>
    <col min="11" max="11" width="4.19921875" style="8" customWidth="1"/>
    <col min="12" max="13" width="5.69921875" style="8" customWidth="1"/>
    <col min="14" max="14" width="18.796875" style="8" customWidth="1"/>
    <col min="15" max="15" width="2.69921875" style="8" customWidth="1"/>
    <col min="16" max="19" width="9.5" style="8" customWidth="1"/>
    <col min="20" max="16384" width="8.796875" style="8"/>
  </cols>
  <sheetData>
    <row r="1" spans="1:16" x14ac:dyDescent="0.45">
      <c r="A1" s="2"/>
      <c r="B1" s="2"/>
      <c r="C1" s="2"/>
      <c r="D1" s="2"/>
      <c r="E1" s="2"/>
      <c r="F1" s="2"/>
      <c r="G1" s="2"/>
      <c r="H1" s="2"/>
      <c r="I1" s="2"/>
      <c r="J1" s="2"/>
      <c r="K1" s="2"/>
      <c r="L1" s="2"/>
      <c r="M1" s="2"/>
      <c r="N1" s="2"/>
      <c r="O1" s="2"/>
    </row>
    <row r="2" spans="1:16" x14ac:dyDescent="0.45">
      <c r="A2" s="2"/>
      <c r="B2" s="2"/>
      <c r="C2" s="2"/>
      <c r="D2" s="2"/>
      <c r="E2" s="2"/>
      <c r="F2" s="2"/>
      <c r="G2" s="2"/>
      <c r="H2" s="2"/>
      <c r="I2" s="2"/>
      <c r="J2" s="2"/>
      <c r="K2" s="2"/>
      <c r="L2" s="2"/>
      <c r="M2" s="2"/>
      <c r="N2" s="2"/>
      <c r="O2" s="2"/>
    </row>
    <row r="3" spans="1:16" x14ac:dyDescent="0.45">
      <c r="A3" s="2"/>
      <c r="B3" s="2"/>
      <c r="C3" s="2"/>
      <c r="D3" s="2"/>
      <c r="E3" s="2"/>
      <c r="F3" s="2"/>
      <c r="G3" s="2"/>
      <c r="H3" s="2"/>
      <c r="I3" s="2"/>
      <c r="J3" s="2"/>
      <c r="K3" s="2"/>
      <c r="L3" s="2"/>
      <c r="M3" s="2"/>
      <c r="N3" s="2"/>
      <c r="O3" s="2"/>
    </row>
    <row r="4" spans="1:16" x14ac:dyDescent="0.45">
      <c r="A4" s="258" t="s">
        <v>0</v>
      </c>
      <c r="B4" s="258"/>
      <c r="C4" s="258"/>
      <c r="D4" s="258"/>
      <c r="E4" s="258"/>
      <c r="F4" s="2"/>
      <c r="G4" s="2"/>
      <c r="H4" s="2"/>
      <c r="I4" s="2"/>
      <c r="J4" s="2"/>
      <c r="K4" s="2"/>
      <c r="L4" s="2"/>
      <c r="M4" s="2"/>
      <c r="N4" s="2"/>
      <c r="O4" s="2"/>
    </row>
    <row r="5" spans="1:16" x14ac:dyDescent="0.45">
      <c r="A5" s="253" t="s">
        <v>225</v>
      </c>
      <c r="B5" s="253"/>
      <c r="C5" s="253"/>
      <c r="D5" s="253"/>
      <c r="E5" s="253"/>
      <c r="F5" s="2"/>
      <c r="G5" s="2"/>
      <c r="H5" s="2"/>
      <c r="I5" s="2"/>
      <c r="J5" s="2"/>
      <c r="K5" s="2"/>
      <c r="L5" s="2"/>
      <c r="M5" s="2"/>
      <c r="N5" s="2"/>
      <c r="O5" s="2"/>
    </row>
    <row r="6" spans="1:16" ht="6" customHeight="1" x14ac:dyDescent="0.45">
      <c r="A6" s="2"/>
      <c r="B6" s="2"/>
      <c r="C6" s="2"/>
      <c r="D6" s="2"/>
      <c r="E6" s="2"/>
      <c r="F6" s="2"/>
      <c r="G6" s="2"/>
      <c r="H6" s="2"/>
      <c r="I6" s="2"/>
      <c r="J6" s="2"/>
      <c r="K6" s="2"/>
      <c r="L6" s="2"/>
      <c r="M6" s="2"/>
      <c r="N6" s="2"/>
      <c r="O6" s="2"/>
    </row>
    <row r="7" spans="1:16" x14ac:dyDescent="0.45">
      <c r="A7" s="2"/>
      <c r="B7" s="2"/>
      <c r="C7" s="2"/>
      <c r="D7" s="2"/>
      <c r="E7" s="2"/>
      <c r="F7" s="2"/>
      <c r="G7" s="2"/>
      <c r="H7" s="2"/>
      <c r="I7" s="2"/>
      <c r="J7" s="2"/>
      <c r="K7" s="2"/>
      <c r="L7" s="2"/>
      <c r="M7" s="2"/>
      <c r="N7" s="2"/>
      <c r="O7" s="243" t="s">
        <v>5</v>
      </c>
    </row>
    <row r="8" spans="1:16" x14ac:dyDescent="0.45">
      <c r="A8" s="2" t="s">
        <v>1</v>
      </c>
      <c r="B8" s="2"/>
      <c r="C8" s="2"/>
      <c r="D8" s="2"/>
      <c r="E8" s="2"/>
      <c r="F8" s="2"/>
      <c r="G8" s="2"/>
      <c r="H8" s="2"/>
      <c r="I8" s="2"/>
      <c r="J8" s="2"/>
      <c r="K8" s="2"/>
      <c r="L8" s="2"/>
      <c r="M8" s="2"/>
      <c r="N8" s="2"/>
      <c r="O8" s="2"/>
    </row>
    <row r="9" spans="1:16" ht="6.6" customHeight="1" thickBot="1" x14ac:dyDescent="0.5">
      <c r="A9" s="2"/>
      <c r="B9" s="2"/>
      <c r="C9" s="2"/>
      <c r="D9" s="2"/>
      <c r="E9" s="2"/>
      <c r="F9" s="2"/>
      <c r="G9" s="2"/>
      <c r="H9" s="2"/>
      <c r="I9" s="246"/>
      <c r="J9" s="246"/>
      <c r="K9" s="246"/>
      <c r="L9" s="246"/>
      <c r="M9" s="246"/>
      <c r="N9" s="246"/>
      <c r="O9" s="2"/>
    </row>
    <row r="10" spans="1:16" ht="26.4" customHeight="1" thickBot="1" x14ac:dyDescent="0.5">
      <c r="A10" s="2"/>
      <c r="B10" s="2"/>
      <c r="C10" s="2"/>
      <c r="D10" s="383" t="s">
        <v>10</v>
      </c>
      <c r="E10" s="384"/>
      <c r="F10" s="335" t="str">
        <f>入力フォーム!B2&amp;""</f>
        <v/>
      </c>
      <c r="G10" s="335"/>
      <c r="H10" s="336"/>
      <c r="I10" s="375" t="s">
        <v>185</v>
      </c>
      <c r="J10" s="376"/>
      <c r="K10" s="376"/>
      <c r="L10" s="347" t="str">
        <f>入力フォーム!B6&amp;"　"&amp;入力フォーム!B7</f>
        <v>　</v>
      </c>
      <c r="M10" s="347"/>
      <c r="N10" s="347"/>
      <c r="O10" s="305" t="s">
        <v>282</v>
      </c>
      <c r="P10" s="8" t="s">
        <v>27</v>
      </c>
    </row>
    <row r="11" spans="1:16" x14ac:dyDescent="0.45">
      <c r="A11" s="2"/>
      <c r="B11" s="2"/>
      <c r="C11" s="2"/>
      <c r="D11" s="385" t="s">
        <v>11</v>
      </c>
      <c r="E11" s="386"/>
      <c r="F11" s="345" t="str">
        <f>IF(入力フォーム!B4="", "〒",TEXT(入力フォーム!B4,"〒000-0000"))</f>
        <v>〒</v>
      </c>
      <c r="G11" s="345"/>
      <c r="H11" s="346"/>
      <c r="I11" s="368" t="s">
        <v>190</v>
      </c>
      <c r="J11" s="369"/>
      <c r="K11" s="369"/>
      <c r="L11" s="343" t="str">
        <f>入力フォーム!B8&amp;""</f>
        <v/>
      </c>
      <c r="M11" s="343"/>
      <c r="N11" s="343"/>
      <c r="O11" s="344"/>
      <c r="P11" s="8" t="s">
        <v>27</v>
      </c>
    </row>
    <row r="12" spans="1:16" x14ac:dyDescent="0.45">
      <c r="A12" s="2"/>
      <c r="B12" s="2"/>
      <c r="C12" s="2"/>
      <c r="D12" s="371"/>
      <c r="E12" s="372"/>
      <c r="F12" s="340" t="str">
        <f>入力フォーム!B5&amp;""</f>
        <v/>
      </c>
      <c r="G12" s="340"/>
      <c r="H12" s="341"/>
      <c r="I12" s="371"/>
      <c r="J12" s="372"/>
      <c r="K12" s="372"/>
      <c r="L12" s="349"/>
      <c r="M12" s="349"/>
      <c r="N12" s="349"/>
      <c r="O12" s="350"/>
    </row>
    <row r="13" spans="1:16" ht="6.6" customHeight="1" x14ac:dyDescent="0.45">
      <c r="A13" s="2"/>
      <c r="B13" s="2"/>
      <c r="C13" s="2"/>
      <c r="D13" s="245"/>
      <c r="E13" s="245"/>
      <c r="F13" s="2"/>
      <c r="G13" s="2"/>
      <c r="H13" s="2"/>
      <c r="I13" s="245"/>
      <c r="J13" s="245"/>
      <c r="K13" s="245"/>
      <c r="L13" s="245"/>
      <c r="M13" s="245"/>
      <c r="N13" s="245"/>
      <c r="O13" s="265"/>
    </row>
    <row r="14" spans="1:16" ht="13.2" customHeight="1" x14ac:dyDescent="0.45">
      <c r="A14" s="2"/>
      <c r="B14" s="2"/>
      <c r="C14" s="2"/>
      <c r="D14" s="330" t="s">
        <v>194</v>
      </c>
      <c r="E14" s="330"/>
      <c r="F14" s="2" t="s">
        <v>283</v>
      </c>
      <c r="G14" s="2"/>
      <c r="H14" s="2"/>
      <c r="I14" s="2"/>
      <c r="J14" s="2"/>
      <c r="K14" s="2"/>
      <c r="L14" s="2"/>
      <c r="M14" s="2"/>
      <c r="N14" s="2"/>
      <c r="O14" s="2"/>
    </row>
    <row r="15" spans="1:16" ht="26.4" customHeight="1" x14ac:dyDescent="0.45">
      <c r="A15" s="2"/>
      <c r="B15" s="2"/>
      <c r="C15" s="2"/>
      <c r="D15" s="359" t="s">
        <v>192</v>
      </c>
      <c r="E15" s="360"/>
      <c r="F15" s="347" t="str">
        <f>入力フォーム!B9&amp;""</f>
        <v/>
      </c>
      <c r="G15" s="347"/>
      <c r="H15" s="348"/>
      <c r="I15" s="359" t="s">
        <v>191</v>
      </c>
      <c r="J15" s="360"/>
      <c r="K15" s="360"/>
      <c r="L15" s="333" t="str">
        <f>入力フォーム!B10&amp;""</f>
        <v/>
      </c>
      <c r="M15" s="333"/>
      <c r="N15" s="333"/>
      <c r="O15" s="334"/>
      <c r="P15" s="8" t="s">
        <v>27</v>
      </c>
    </row>
    <row r="16" spans="1:16" ht="12.6" customHeight="1" x14ac:dyDescent="0.45">
      <c r="A16" s="2"/>
      <c r="B16" s="2"/>
      <c r="C16" s="2"/>
      <c r="D16" s="368" t="s">
        <v>11</v>
      </c>
      <c r="E16" s="369"/>
      <c r="F16" s="343" t="str">
        <f>IF(入力フォーム!B11="","〒",TEXT(入力フォーム!B11,"〒000-0000"))</f>
        <v>〒</v>
      </c>
      <c r="G16" s="343"/>
      <c r="H16" s="344"/>
      <c r="I16" s="377" t="s">
        <v>212</v>
      </c>
      <c r="J16" s="378"/>
      <c r="K16" s="378"/>
      <c r="L16" s="351" t="str">
        <f>IF(AND(入力フォーム!B13&lt;&gt;"",入力フォーム!B14&lt;&gt;""),"①"&amp;入力フォーム!B13&amp;"/②"&amp;入力フォーム!B14,IF(AND(入力フォーム!B13&lt;&gt;"",入力フォーム!B14=""),"①"&amp;入力フォーム!B13,IF(AND(入力フォーム!B13="",入力フォーム!B14&lt;&gt;""),"②"&amp;入力フォーム!B14,"①　　　　　         　　　　　　　　　②")))</f>
        <v>①　　　　　         　　　　　　　　　②</v>
      </c>
      <c r="M16" s="351"/>
      <c r="N16" s="351"/>
      <c r="O16" s="352"/>
      <c r="P16" s="8" t="s">
        <v>27</v>
      </c>
    </row>
    <row r="17" spans="1:16" ht="22.2" customHeight="1" x14ac:dyDescent="0.45">
      <c r="A17" s="2"/>
      <c r="B17" s="2"/>
      <c r="C17" s="2"/>
      <c r="D17" s="371"/>
      <c r="E17" s="372"/>
      <c r="F17" s="337" t="str">
        <f>入力フォーム!B12&amp;""</f>
        <v/>
      </c>
      <c r="G17" s="337"/>
      <c r="H17" s="338"/>
      <c r="I17" s="379"/>
      <c r="J17" s="380"/>
      <c r="K17" s="380"/>
      <c r="L17" s="353"/>
      <c r="M17" s="353"/>
      <c r="N17" s="353"/>
      <c r="O17" s="354"/>
    </row>
    <row r="18" spans="1:16" ht="26.4" customHeight="1" x14ac:dyDescent="0.45">
      <c r="A18" s="2"/>
      <c r="B18" s="2"/>
      <c r="C18" s="2"/>
      <c r="D18" s="359" t="s">
        <v>204</v>
      </c>
      <c r="E18" s="360"/>
      <c r="F18" s="349" t="str">
        <f>入力フォーム!B15&amp;""</f>
        <v/>
      </c>
      <c r="G18" s="349"/>
      <c r="H18" s="350"/>
      <c r="I18" s="381" t="s">
        <v>193</v>
      </c>
      <c r="J18" s="376"/>
      <c r="K18" s="376"/>
      <c r="L18" s="347" t="str">
        <f>入力フォーム!B16&amp;""</f>
        <v/>
      </c>
      <c r="M18" s="347"/>
      <c r="N18" s="347"/>
      <c r="O18" s="348"/>
      <c r="P18" s="8" t="s">
        <v>27</v>
      </c>
    </row>
    <row r="19" spans="1:16" x14ac:dyDescent="0.45">
      <c r="A19" s="2"/>
      <c r="B19" s="2"/>
      <c r="C19" s="2"/>
      <c r="D19" s="245"/>
      <c r="E19" s="245"/>
      <c r="F19" s="2"/>
      <c r="G19" s="339" t="s">
        <v>195</v>
      </c>
      <c r="H19" s="339"/>
      <c r="I19" s="339"/>
      <c r="J19" s="339"/>
      <c r="K19" s="339"/>
      <c r="L19" s="339"/>
      <c r="M19" s="339"/>
      <c r="N19" s="339"/>
      <c r="O19" s="339"/>
    </row>
    <row r="20" spans="1:16" ht="13.2" customHeight="1" x14ac:dyDescent="0.45">
      <c r="A20" s="2"/>
      <c r="B20" s="2"/>
      <c r="C20" s="2"/>
      <c r="D20" s="2"/>
      <c r="E20" s="2"/>
      <c r="F20" s="2"/>
      <c r="G20" s="342"/>
      <c r="H20" s="342"/>
      <c r="I20" s="342"/>
      <c r="J20" s="342"/>
      <c r="K20" s="342"/>
      <c r="L20" s="342"/>
      <c r="M20" s="342"/>
      <c r="N20" s="342"/>
      <c r="O20" s="342"/>
    </row>
    <row r="21" spans="1:16" ht="6" customHeight="1" x14ac:dyDescent="0.45">
      <c r="A21" s="2"/>
      <c r="B21" s="2"/>
      <c r="C21" s="2"/>
      <c r="D21" s="2"/>
      <c r="E21" s="2"/>
      <c r="F21" s="2"/>
      <c r="G21" s="2"/>
      <c r="H21" s="2"/>
      <c r="I21" s="2"/>
      <c r="J21" s="2"/>
      <c r="K21" s="2"/>
      <c r="L21" s="2"/>
      <c r="M21" s="2"/>
      <c r="N21" s="2"/>
      <c r="O21" s="2"/>
    </row>
    <row r="22" spans="1:16" x14ac:dyDescent="0.45">
      <c r="A22" s="257" t="s">
        <v>227</v>
      </c>
      <c r="B22" s="257"/>
      <c r="C22" s="257"/>
      <c r="D22" s="257"/>
      <c r="E22" s="257"/>
      <c r="F22" s="257"/>
      <c r="G22" s="257"/>
      <c r="H22" s="257"/>
      <c r="I22" s="257"/>
      <c r="J22" s="257"/>
      <c r="K22" s="257"/>
      <c r="L22" s="257"/>
      <c r="M22" s="257"/>
      <c r="N22" s="257"/>
      <c r="O22" s="257"/>
    </row>
    <row r="23" spans="1:16" x14ac:dyDescent="0.45">
      <c r="A23" s="257" t="s">
        <v>228</v>
      </c>
      <c r="B23" s="257"/>
      <c r="C23" s="257"/>
      <c r="D23" s="257"/>
      <c r="E23" s="257"/>
      <c r="F23" s="257"/>
      <c r="G23" s="257"/>
      <c r="H23" s="257"/>
      <c r="I23" s="257"/>
      <c r="J23" s="257"/>
      <c r="K23" s="257"/>
      <c r="L23" s="257"/>
      <c r="M23" s="257"/>
      <c r="N23" s="257"/>
      <c r="O23" s="257"/>
    </row>
    <row r="24" spans="1:16" x14ac:dyDescent="0.45">
      <c r="A24" s="2"/>
      <c r="B24" s="2"/>
      <c r="C24" s="2"/>
      <c r="D24" s="2"/>
      <c r="E24" s="2"/>
      <c r="F24" s="2"/>
      <c r="G24" s="2"/>
      <c r="H24" s="2"/>
      <c r="I24" s="2"/>
      <c r="J24" s="2"/>
      <c r="K24" s="2"/>
      <c r="L24" s="2"/>
      <c r="M24" s="2"/>
      <c r="N24" s="2"/>
      <c r="O24" s="2"/>
    </row>
    <row r="25" spans="1:16" x14ac:dyDescent="0.45">
      <c r="A25" s="2" t="s">
        <v>334</v>
      </c>
      <c r="B25" s="2"/>
      <c r="C25" s="2"/>
      <c r="D25" s="2"/>
      <c r="E25" s="2"/>
      <c r="F25" s="2"/>
      <c r="G25" s="2"/>
      <c r="H25" s="2"/>
      <c r="I25" s="2"/>
      <c r="J25" s="2"/>
      <c r="K25" s="2"/>
      <c r="L25" s="2"/>
      <c r="M25" s="2"/>
      <c r="N25" s="2"/>
      <c r="O25" s="2"/>
    </row>
    <row r="26" spans="1:16" x14ac:dyDescent="0.45">
      <c r="A26" s="2" t="s">
        <v>207</v>
      </c>
      <c r="B26" s="2"/>
      <c r="C26" s="2"/>
      <c r="D26" s="2"/>
      <c r="E26" s="2"/>
      <c r="F26" s="2"/>
      <c r="G26" s="2"/>
      <c r="H26" s="2"/>
      <c r="I26" s="2"/>
      <c r="J26" s="2"/>
      <c r="K26" s="2"/>
      <c r="L26" s="2"/>
      <c r="M26" s="2"/>
      <c r="N26" s="2"/>
      <c r="O26" s="2"/>
    </row>
    <row r="27" spans="1:16" x14ac:dyDescent="0.45">
      <c r="A27" s="2" t="s">
        <v>208</v>
      </c>
      <c r="B27" s="2"/>
      <c r="C27" s="2"/>
      <c r="D27" s="2"/>
      <c r="E27" s="2"/>
      <c r="F27" s="2"/>
      <c r="G27" s="2"/>
      <c r="H27" s="2"/>
      <c r="I27" s="2"/>
      <c r="J27" s="2"/>
      <c r="K27" s="2"/>
      <c r="L27" s="2"/>
      <c r="M27" s="2"/>
      <c r="N27" s="2"/>
      <c r="O27" s="2"/>
    </row>
    <row r="28" spans="1:16" x14ac:dyDescent="0.45">
      <c r="A28" s="2" t="s">
        <v>209</v>
      </c>
      <c r="B28" s="2"/>
      <c r="C28" s="2"/>
      <c r="D28" s="2"/>
      <c r="E28" s="2"/>
      <c r="F28" s="2"/>
      <c r="G28" s="2"/>
      <c r="H28" s="2"/>
      <c r="I28" s="2"/>
      <c r="J28" s="2"/>
      <c r="K28" s="2"/>
      <c r="L28" s="2"/>
      <c r="M28" s="2"/>
      <c r="N28" s="2"/>
      <c r="O28" s="2"/>
    </row>
    <row r="29" spans="1:16" ht="6" customHeight="1" x14ac:dyDescent="0.45">
      <c r="A29" s="2"/>
      <c r="B29" s="2"/>
      <c r="C29" s="2"/>
      <c r="D29" s="2"/>
      <c r="E29" s="2"/>
      <c r="F29" s="2"/>
      <c r="G29" s="2"/>
      <c r="H29" s="2"/>
      <c r="I29" s="2"/>
      <c r="J29" s="2"/>
      <c r="K29" s="2"/>
      <c r="L29" s="2"/>
      <c r="M29" s="2"/>
      <c r="N29" s="2"/>
      <c r="O29" s="2"/>
    </row>
    <row r="30" spans="1:16" x14ac:dyDescent="0.45">
      <c r="A30" s="257" t="s">
        <v>4</v>
      </c>
      <c r="B30" s="257"/>
      <c r="C30" s="257"/>
      <c r="D30" s="257"/>
      <c r="E30" s="257"/>
      <c r="F30" s="257"/>
      <c r="G30" s="257"/>
      <c r="H30" s="257"/>
      <c r="I30" s="257"/>
      <c r="J30" s="257"/>
      <c r="K30" s="257"/>
      <c r="L30" s="257"/>
      <c r="M30" s="257"/>
      <c r="N30" s="257"/>
      <c r="O30" s="257"/>
    </row>
    <row r="31" spans="1:16" ht="6" customHeight="1" x14ac:dyDescent="0.45">
      <c r="A31" s="257"/>
      <c r="B31" s="257"/>
      <c r="C31" s="257"/>
      <c r="D31" s="257"/>
      <c r="E31" s="257"/>
      <c r="F31" s="257"/>
      <c r="G31" s="257"/>
      <c r="H31" s="257"/>
      <c r="I31" s="257"/>
      <c r="J31" s="257"/>
      <c r="K31" s="257"/>
      <c r="L31" s="257"/>
      <c r="M31" s="257"/>
      <c r="N31" s="257"/>
      <c r="O31" s="257"/>
    </row>
    <row r="32" spans="1:16" ht="24.6" customHeight="1" x14ac:dyDescent="0.2">
      <c r="A32" s="259" t="s">
        <v>6</v>
      </c>
      <c r="B32" s="259" t="s">
        <v>229</v>
      </c>
      <c r="C32" s="239"/>
      <c r="D32" s="2"/>
      <c r="E32" s="2"/>
      <c r="F32" s="260"/>
      <c r="G32" s="2"/>
      <c r="H32" s="2"/>
      <c r="I32" s="2"/>
      <c r="J32" s="2"/>
      <c r="K32" s="2"/>
      <c r="L32" s="2"/>
      <c r="M32" s="2"/>
      <c r="N32" s="2"/>
      <c r="O32" s="2"/>
      <c r="P32" s="8" t="s">
        <v>27</v>
      </c>
    </row>
    <row r="33" spans="1:16" x14ac:dyDescent="0.45">
      <c r="A33" s="2"/>
      <c r="B33" s="2" t="s">
        <v>230</v>
      </c>
      <c r="C33" s="2"/>
      <c r="D33" s="2"/>
      <c r="E33" s="2"/>
      <c r="F33" s="2"/>
      <c r="G33" s="2"/>
      <c r="H33" s="2"/>
      <c r="I33" s="2"/>
      <c r="J33" s="2"/>
      <c r="K33" s="2"/>
      <c r="L33" s="2"/>
      <c r="M33" s="2"/>
      <c r="N33" s="2"/>
      <c r="O33" s="2"/>
    </row>
    <row r="34" spans="1:16" ht="6" customHeight="1" x14ac:dyDescent="0.45">
      <c r="A34" s="2"/>
      <c r="B34" s="2"/>
      <c r="C34" s="2"/>
      <c r="D34" s="2"/>
      <c r="E34" s="2"/>
      <c r="F34" s="2"/>
      <c r="G34" s="2"/>
      <c r="H34" s="2"/>
      <c r="I34" s="2"/>
      <c r="J34" s="2"/>
      <c r="K34" s="2"/>
      <c r="L34" s="2"/>
      <c r="M34" s="2"/>
      <c r="N34" s="2"/>
      <c r="O34" s="2"/>
    </row>
    <row r="35" spans="1:16" ht="24.6" customHeight="1" x14ac:dyDescent="0.2">
      <c r="A35" s="259" t="s">
        <v>7</v>
      </c>
      <c r="B35" s="259" t="s">
        <v>231</v>
      </c>
      <c r="C35" s="239"/>
      <c r="D35" s="2"/>
      <c r="E35" s="2"/>
      <c r="F35" s="260" t="s">
        <v>275</v>
      </c>
      <c r="G35" s="260"/>
      <c r="H35" s="2"/>
      <c r="I35" s="2"/>
      <c r="J35" s="2"/>
      <c r="K35" s="2"/>
      <c r="L35" s="2"/>
      <c r="M35" s="2"/>
      <c r="N35" s="2"/>
      <c r="O35" s="2"/>
      <c r="P35" s="8" t="s">
        <v>27</v>
      </c>
    </row>
    <row r="36" spans="1:16" ht="22.2" customHeight="1" x14ac:dyDescent="0.45">
      <c r="A36" s="2"/>
      <c r="B36" s="261" t="str">
        <f>IF(入力フォーム!B17='第１－１号様式'!C36,"○","")</f>
        <v/>
      </c>
      <c r="C36" s="332" t="s">
        <v>325</v>
      </c>
      <c r="D36" s="333"/>
      <c r="E36" s="333"/>
      <c r="F36" s="333"/>
      <c r="G36" s="334"/>
      <c r="H36" s="14" t="str">
        <f>IF(入力フォーム!B17='第１－１号様式'!I36,"○","")</f>
        <v>○</v>
      </c>
      <c r="I36" s="284" t="s">
        <v>326</v>
      </c>
      <c r="J36" s="284"/>
      <c r="K36" s="284"/>
      <c r="L36" s="284"/>
      <c r="M36" s="284"/>
      <c r="N36" s="284"/>
      <c r="O36" s="269"/>
    </row>
    <row r="37" spans="1:16" ht="6" customHeight="1" x14ac:dyDescent="0.45">
      <c r="A37" s="2"/>
      <c r="B37" s="2"/>
      <c r="C37" s="2"/>
      <c r="D37" s="2"/>
      <c r="E37" s="2"/>
      <c r="F37" s="2"/>
      <c r="G37" s="2"/>
      <c r="H37" s="2"/>
      <c r="I37" s="2"/>
      <c r="J37" s="2"/>
      <c r="K37" s="2"/>
      <c r="L37" s="2"/>
      <c r="M37" s="2"/>
      <c r="N37" s="2"/>
      <c r="O37" s="2"/>
    </row>
    <row r="38" spans="1:16" ht="24.6" customHeight="1" x14ac:dyDescent="0.2">
      <c r="A38" s="259" t="s">
        <v>8</v>
      </c>
      <c r="B38" s="259" t="s">
        <v>161</v>
      </c>
      <c r="C38" s="239"/>
      <c r="D38" s="2"/>
      <c r="E38" s="2"/>
      <c r="F38" s="260" t="s">
        <v>183</v>
      </c>
      <c r="G38" s="2"/>
      <c r="H38" s="2"/>
      <c r="I38" s="2"/>
      <c r="J38" s="2"/>
      <c r="K38" s="2"/>
      <c r="L38" s="2"/>
      <c r="M38" s="2"/>
      <c r="N38" s="2"/>
      <c r="O38" s="2"/>
      <c r="P38" s="8" t="s">
        <v>27</v>
      </c>
    </row>
    <row r="39" spans="1:16" ht="22.2" customHeight="1" x14ac:dyDescent="0.45">
      <c r="A39" s="244"/>
      <c r="B39" s="261" t="str">
        <f>IF(入力フォーム!B22="Ａ　地域の課題解決のための取組","○","")</f>
        <v/>
      </c>
      <c r="C39" s="332" t="s">
        <v>327</v>
      </c>
      <c r="D39" s="333"/>
      <c r="E39" s="333"/>
      <c r="F39" s="333"/>
      <c r="G39" s="333"/>
      <c r="H39" s="333"/>
      <c r="I39" s="333"/>
      <c r="J39" s="333"/>
      <c r="K39" s="333"/>
      <c r="L39" s="333"/>
      <c r="M39" s="333"/>
      <c r="N39" s="333"/>
      <c r="O39" s="334"/>
    </row>
    <row r="40" spans="1:16" ht="22.2" customHeight="1" x14ac:dyDescent="0.45">
      <c r="A40" s="244"/>
      <c r="B40" s="261" t="str">
        <f>IF(入力フォーム!B22="Ｂ－Ｓ　デジタル活用支援","○","")</f>
        <v/>
      </c>
      <c r="C40" s="332" t="s">
        <v>328</v>
      </c>
      <c r="D40" s="333"/>
      <c r="E40" s="333"/>
      <c r="F40" s="333"/>
      <c r="G40" s="333"/>
      <c r="H40" s="333"/>
      <c r="I40" s="333"/>
      <c r="J40" s="333"/>
      <c r="K40" s="333"/>
      <c r="L40" s="333"/>
      <c r="M40" s="333"/>
      <c r="N40" s="333"/>
      <c r="O40" s="334"/>
    </row>
    <row r="41" spans="1:16" ht="22.2" customHeight="1" x14ac:dyDescent="0.45">
      <c r="A41" s="244"/>
      <c r="B41" s="261" t="str">
        <f>IF(入力フォーム!B22="Ｃ　複数の単一町会・自治会が共同して実施する取組","○","")</f>
        <v>○</v>
      </c>
      <c r="C41" s="332" t="s">
        <v>329</v>
      </c>
      <c r="D41" s="333"/>
      <c r="E41" s="333"/>
      <c r="F41" s="333"/>
      <c r="G41" s="333"/>
      <c r="H41" s="333"/>
      <c r="I41" s="333"/>
      <c r="J41" s="333"/>
      <c r="K41" s="333"/>
      <c r="L41" s="333"/>
      <c r="M41" s="333"/>
      <c r="N41" s="333"/>
      <c r="O41" s="334"/>
    </row>
    <row r="42" spans="1:16" ht="22.2" customHeight="1" x14ac:dyDescent="0.45">
      <c r="A42" s="244"/>
      <c r="B42" s="261" t="str">
        <f>IF(入力フォーム!B22="Ｄ　単一の町会・自治会が他の地域団体と連携して実施する取組","○","")</f>
        <v/>
      </c>
      <c r="C42" s="332" t="s">
        <v>330</v>
      </c>
      <c r="D42" s="333"/>
      <c r="E42" s="333"/>
      <c r="F42" s="333"/>
      <c r="G42" s="333"/>
      <c r="H42" s="333"/>
      <c r="I42" s="333"/>
      <c r="J42" s="333"/>
      <c r="K42" s="333"/>
      <c r="L42" s="333"/>
      <c r="M42" s="333"/>
      <c r="N42" s="333"/>
      <c r="O42" s="334"/>
    </row>
    <row r="43" spans="1:16" ht="22.2" customHeight="1" x14ac:dyDescent="0.45">
      <c r="A43" s="244"/>
      <c r="B43" s="261" t="str">
        <f>IF(入力フォーム!B18="行わない","○","")</f>
        <v/>
      </c>
      <c r="C43" s="382" t="s">
        <v>331</v>
      </c>
      <c r="D43" s="382"/>
      <c r="E43" s="382"/>
      <c r="F43" s="382"/>
      <c r="G43" s="382"/>
      <c r="H43" s="382"/>
      <c r="I43" s="382"/>
      <c r="J43" s="382"/>
      <c r="K43" s="382"/>
      <c r="L43" s="382"/>
      <c r="M43" s="382"/>
      <c r="N43" s="382"/>
      <c r="O43" s="382"/>
    </row>
    <row r="44" spans="1:16" x14ac:dyDescent="0.45">
      <c r="A44" s="244"/>
      <c r="B44" s="283" t="s">
        <v>233</v>
      </c>
      <c r="C44" s="2"/>
      <c r="D44" s="2"/>
      <c r="E44" s="2"/>
      <c r="F44" s="2"/>
      <c r="G44" s="2"/>
      <c r="H44" s="2"/>
      <c r="I44" s="2"/>
      <c r="J44" s="2"/>
      <c r="K44" s="2"/>
      <c r="L44" s="2"/>
      <c r="M44" s="2"/>
      <c r="N44" s="2"/>
      <c r="O44" s="2"/>
    </row>
    <row r="45" spans="1:16" x14ac:dyDescent="0.45">
      <c r="A45" s="244"/>
      <c r="B45" s="283" t="s">
        <v>234</v>
      </c>
      <c r="C45" s="2"/>
      <c r="D45" s="2"/>
      <c r="E45" s="2"/>
      <c r="F45" s="2"/>
      <c r="G45" s="2"/>
      <c r="H45" s="2"/>
      <c r="I45" s="2"/>
      <c r="J45" s="2"/>
      <c r="K45" s="2"/>
      <c r="L45" s="2"/>
      <c r="M45" s="2"/>
      <c r="N45" s="2"/>
      <c r="O45" s="2"/>
    </row>
    <row r="46" spans="1:16" ht="6" customHeight="1" x14ac:dyDescent="0.45">
      <c r="A46" s="2"/>
      <c r="B46" s="2"/>
      <c r="C46" s="2"/>
      <c r="D46" s="2"/>
      <c r="E46" s="2"/>
      <c r="F46" s="2"/>
      <c r="G46" s="2"/>
      <c r="H46" s="2"/>
      <c r="I46" s="2"/>
      <c r="J46" s="2"/>
      <c r="K46" s="2"/>
      <c r="L46" s="2"/>
      <c r="M46" s="2"/>
      <c r="N46" s="2"/>
      <c r="O46" s="2"/>
    </row>
    <row r="47" spans="1:16" ht="24.6" customHeight="1" x14ac:dyDescent="0.45">
      <c r="A47" s="244" t="s">
        <v>9</v>
      </c>
      <c r="B47" s="244" t="s">
        <v>162</v>
      </c>
      <c r="C47" s="239"/>
      <c r="D47" s="239"/>
      <c r="E47" s="239"/>
      <c r="F47" s="263" t="str">
        <f>IF(収支予算書!J8="",DBCS("，０００"),DBCS(収支予算書!J8))</f>
        <v>，０００</v>
      </c>
      <c r="G47" s="264" t="s">
        <v>184</v>
      </c>
      <c r="H47" s="331" t="s">
        <v>232</v>
      </c>
      <c r="I47" s="331"/>
      <c r="J47" s="331"/>
      <c r="K47" s="331"/>
      <c r="L47" s="331"/>
      <c r="M47" s="331"/>
      <c r="N47" s="331"/>
      <c r="O47" s="331"/>
      <c r="P47" s="8" t="s">
        <v>27</v>
      </c>
    </row>
    <row r="48" spans="1:16" ht="6" customHeight="1" x14ac:dyDescent="0.45">
      <c r="A48" s="2"/>
      <c r="B48" s="2"/>
      <c r="C48" s="2"/>
      <c r="D48" s="2"/>
      <c r="E48" s="2"/>
      <c r="F48" s="2"/>
      <c r="G48" s="2"/>
      <c r="H48" s="2"/>
      <c r="I48" s="2"/>
      <c r="J48" s="2"/>
      <c r="K48" s="2"/>
      <c r="L48" s="2"/>
      <c r="M48" s="2"/>
      <c r="N48" s="2"/>
      <c r="O48" s="2"/>
    </row>
    <row r="49" spans="1:16" ht="24.6" customHeight="1" x14ac:dyDescent="0.45">
      <c r="A49" s="244" t="s">
        <v>235</v>
      </c>
      <c r="B49" s="244" t="s">
        <v>236</v>
      </c>
      <c r="C49" s="239"/>
      <c r="D49" s="239"/>
      <c r="E49" s="239"/>
      <c r="F49" s="255"/>
      <c r="G49" s="255"/>
      <c r="H49" s="2"/>
      <c r="I49" s="2"/>
      <c r="J49" s="2"/>
      <c r="K49" s="2"/>
      <c r="L49" s="2"/>
      <c r="M49" s="2"/>
      <c r="N49" s="2"/>
      <c r="O49" s="2"/>
      <c r="P49" s="8" t="s">
        <v>27</v>
      </c>
    </row>
    <row r="50" spans="1:16" ht="24.6" customHeight="1" x14ac:dyDescent="0.45">
      <c r="A50" s="2"/>
      <c r="B50" s="368" t="s">
        <v>238</v>
      </c>
      <c r="C50" s="369"/>
      <c r="D50" s="370"/>
      <c r="E50" s="367" t="str">
        <f>IF(入力フォーム!B115&lt;&gt;"",DBCS(TEXT(入力フォーム!B115,"ggge年m月d日"))&amp;"から"&amp;DBCS(TEXT(入力フォーム!B116,"ggge年m月d日"))&amp;"まで","令和　　 年　　 月　　 日から　令和　　 年　　 月　　 日まで")</f>
        <v>令和　　 年　　 月　　 日から　令和　　 年　　 月　　 日まで</v>
      </c>
      <c r="F50" s="343"/>
      <c r="G50" s="343"/>
      <c r="H50" s="343"/>
      <c r="I50" s="343"/>
      <c r="J50" s="343"/>
      <c r="K50" s="343"/>
      <c r="L50" s="343"/>
      <c r="M50" s="343"/>
      <c r="N50" s="387" t="s">
        <v>271</v>
      </c>
      <c r="O50" s="388"/>
    </row>
    <row r="51" spans="1:16" ht="24.6" customHeight="1" x14ac:dyDescent="0.45">
      <c r="A51" s="2"/>
      <c r="B51" s="371"/>
      <c r="C51" s="372"/>
      <c r="D51" s="373"/>
      <c r="E51" s="374" t="s">
        <v>272</v>
      </c>
      <c r="F51" s="349"/>
      <c r="G51" s="349"/>
      <c r="H51" s="349"/>
      <c r="I51" s="349"/>
      <c r="J51" s="349"/>
      <c r="K51" s="349"/>
      <c r="L51" s="349"/>
      <c r="M51" s="349"/>
      <c r="N51" s="349"/>
      <c r="O51" s="350"/>
    </row>
    <row r="52" spans="1:16" ht="24.6" customHeight="1" x14ac:dyDescent="0.45">
      <c r="A52" s="2"/>
      <c r="B52" s="359" t="s">
        <v>239</v>
      </c>
      <c r="C52" s="360"/>
      <c r="D52" s="361"/>
      <c r="E52" s="355" t="str">
        <f>IF(入力フォーム!B117&lt;&gt;"","計　"&amp;入力フォーム!B117&amp;"　回　","計　　　　　　　　　回")</f>
        <v>計　　　　　　　　　回</v>
      </c>
      <c r="F52" s="365"/>
      <c r="G52" s="355" t="s">
        <v>240</v>
      </c>
      <c r="H52" s="356"/>
      <c r="I52" s="355" t="str">
        <f>IF(入力フォーム!B118&lt;&gt;"","計　"&amp;入力フォーム!B118&amp;"　名","計　　　　　　　　名")</f>
        <v>計　　　　　　　　名</v>
      </c>
      <c r="J52" s="365"/>
      <c r="K52" s="365"/>
      <c r="L52" s="365"/>
      <c r="M52" s="356"/>
      <c r="N52" s="366" t="s">
        <v>267</v>
      </c>
      <c r="O52" s="351"/>
    </row>
    <row r="53" spans="1:16" ht="24.6" customHeight="1" x14ac:dyDescent="0.45">
      <c r="A53" s="2"/>
      <c r="B53" s="245"/>
      <c r="C53" s="245"/>
      <c r="D53" s="245"/>
      <c r="E53" s="255"/>
      <c r="F53" s="255"/>
      <c r="G53" s="255"/>
      <c r="H53" s="255"/>
      <c r="I53" s="255"/>
      <c r="J53" s="255"/>
      <c r="K53" s="255"/>
      <c r="L53" s="255"/>
      <c r="M53" s="255"/>
      <c r="N53" s="255"/>
      <c r="O53" s="303"/>
    </row>
    <row r="54" spans="1:16" ht="24.6" customHeight="1" x14ac:dyDescent="0.45">
      <c r="A54" s="2"/>
      <c r="B54" s="280"/>
      <c r="C54" s="280"/>
      <c r="D54" s="280"/>
      <c r="E54" s="304"/>
      <c r="F54" s="304"/>
      <c r="G54" s="304"/>
      <c r="H54" s="304"/>
      <c r="I54" s="304"/>
      <c r="J54" s="304"/>
      <c r="K54" s="304"/>
      <c r="L54" s="304"/>
      <c r="M54" s="304"/>
      <c r="N54" s="304"/>
      <c r="O54" s="302"/>
    </row>
    <row r="55" spans="1:16" ht="24.6" customHeight="1" x14ac:dyDescent="0.45">
      <c r="A55" s="244"/>
      <c r="B55" s="362" t="s">
        <v>241</v>
      </c>
      <c r="C55" s="363"/>
      <c r="D55" s="364"/>
      <c r="E55" s="332" t="str">
        <f>入力フォーム!B119&amp;""</f>
        <v/>
      </c>
      <c r="F55" s="333"/>
      <c r="G55" s="333"/>
      <c r="H55" s="333"/>
      <c r="I55" s="333"/>
      <c r="J55" s="333"/>
      <c r="K55" s="333"/>
      <c r="L55" s="333"/>
      <c r="M55" s="333"/>
      <c r="N55" s="333"/>
      <c r="O55" s="334"/>
    </row>
    <row r="56" spans="1:16" ht="24.6" customHeight="1" x14ac:dyDescent="0.45">
      <c r="A56" s="2"/>
      <c r="B56" s="359" t="s">
        <v>237</v>
      </c>
      <c r="C56" s="360"/>
      <c r="D56" s="361"/>
      <c r="E56" s="332" t="str">
        <f>入力フォーム!B120&amp;""</f>
        <v/>
      </c>
      <c r="F56" s="333"/>
      <c r="G56" s="333"/>
      <c r="H56" s="333"/>
      <c r="I56" s="333"/>
      <c r="J56" s="333"/>
      <c r="K56" s="333"/>
      <c r="L56" s="333"/>
      <c r="M56" s="333"/>
      <c r="N56" s="333"/>
      <c r="O56" s="334"/>
      <c r="P56" s="8" t="s">
        <v>27</v>
      </c>
    </row>
    <row r="57" spans="1:16" ht="24.6" customHeight="1" x14ac:dyDescent="0.45">
      <c r="A57" s="2"/>
      <c r="B57" s="412" t="s">
        <v>245</v>
      </c>
      <c r="C57" s="284" t="s">
        <v>242</v>
      </c>
      <c r="D57" s="284"/>
      <c r="E57" s="333" t="str">
        <f>IF(入力フォーム!B17='第１－１号様式'!C36,DBCS(TEXT(入力フォーム!B121,"ggge年m月d日"))&amp;入力フォーム!D121&amp;DBCS(入力フォーム!D122)&amp;"から３時間",IF(入力フォーム!B17='第１－１号様式'!I36,DBCS(TEXT(入力フォーム!B132,"ggge年m月d日"))&amp;入力フォーム!D132&amp;DBCS(入力フォーム!D133)&amp;"から"&amp;入力フォーム!D138,"令和　　　年　　　月　　　日（　　　曜日）　　　：　　　から　　　時間"))</f>
        <v>明治３３年１月０日から時間</v>
      </c>
      <c r="F57" s="333"/>
      <c r="G57" s="333"/>
      <c r="H57" s="333"/>
      <c r="I57" s="333"/>
      <c r="J57" s="333"/>
      <c r="K57" s="333"/>
      <c r="L57" s="333"/>
      <c r="M57" s="333"/>
      <c r="N57" s="333"/>
      <c r="O57" s="334"/>
      <c r="P57" s="8" t="s">
        <v>27</v>
      </c>
    </row>
    <row r="58" spans="1:16" ht="24.6" customHeight="1" x14ac:dyDescent="0.45">
      <c r="A58" s="2"/>
      <c r="B58" s="413"/>
      <c r="C58" s="285" t="s">
        <v>243</v>
      </c>
      <c r="D58" s="285"/>
      <c r="E58" s="357" t="str">
        <f>IF(入力フォーム!B17='第１－１号様式'!C36,DBCS(TEXT(入力フォーム!B124,"ggge年m月d日"))&amp;入力フォーム!D124&amp;DBCS(入力フォーム!D125)&amp;"から３時間",IF(入力フォーム!B17='第１－１号様式'!I36,DBCS(TEXT(入力フォーム!B134,"ggge年m月d日"))&amp;入力フォーム!D134&amp;DBCS(入力フォーム!D135)&amp;"から"&amp;入力フォーム!D138,"令和　　　年　　　月　　　日（　　　曜日）　　　：　　　から　　　時間"))</f>
        <v>明治３３年１月０日から時間</v>
      </c>
      <c r="F58" s="357"/>
      <c r="G58" s="357"/>
      <c r="H58" s="357"/>
      <c r="I58" s="357"/>
      <c r="J58" s="357"/>
      <c r="K58" s="357"/>
      <c r="L58" s="357"/>
      <c r="M58" s="357"/>
      <c r="N58" s="357"/>
      <c r="O58" s="358"/>
    </row>
    <row r="59" spans="1:16" ht="24.6" customHeight="1" x14ac:dyDescent="0.45">
      <c r="A59" s="69"/>
      <c r="B59" s="413"/>
      <c r="C59" s="284" t="s">
        <v>244</v>
      </c>
      <c r="D59" s="284"/>
      <c r="E59" s="333" t="str">
        <f>IF(入力フォーム!B17='第１－１号様式'!C36,DBCS(TEXT(入力フォーム!B127,"ggge年m月d日"))&amp;入力フォーム!D127&amp;DBCS(入力フォーム!D128)&amp;"から３時間",IF(入力フォーム!B17='第１－１号様式'!I36,DBCS(TEXT(入力フォーム!B136,"ggge年m月d日"))&amp;入力フォーム!D136&amp;DBCS(入力フォーム!D137)&amp;"から"&amp;入力フォーム!D138,"令和　　　年　　　月　　　日（　　　曜日）　　　：　　　から　　　時間"))</f>
        <v>明治３３年１月０日から時間</v>
      </c>
      <c r="F59" s="333"/>
      <c r="G59" s="333"/>
      <c r="H59" s="333"/>
      <c r="I59" s="333"/>
      <c r="J59" s="333"/>
      <c r="K59" s="333"/>
      <c r="L59" s="333"/>
      <c r="M59" s="333"/>
      <c r="N59" s="333"/>
      <c r="O59" s="334"/>
    </row>
    <row r="60" spans="1:16" ht="73.8" customHeight="1" x14ac:dyDescent="0.45">
      <c r="A60" s="69"/>
      <c r="B60" s="413"/>
      <c r="C60" s="351" t="s">
        <v>270</v>
      </c>
      <c r="D60" s="343"/>
      <c r="E60" s="343"/>
      <c r="F60" s="343"/>
      <c r="G60" s="343"/>
      <c r="H60" s="343"/>
      <c r="I60" s="343"/>
      <c r="J60" s="343"/>
      <c r="K60" s="343"/>
      <c r="L60" s="343"/>
      <c r="M60" s="343"/>
      <c r="N60" s="343"/>
      <c r="O60" s="344"/>
    </row>
    <row r="61" spans="1:16" ht="22.2" customHeight="1" x14ac:dyDescent="0.45">
      <c r="B61" s="286" t="s">
        <v>325</v>
      </c>
      <c r="C61" s="287"/>
      <c r="D61" s="287"/>
      <c r="E61" s="287"/>
      <c r="F61" s="287"/>
      <c r="G61" s="288"/>
      <c r="H61" s="286" t="s">
        <v>332</v>
      </c>
      <c r="I61" s="287"/>
      <c r="J61" s="287"/>
      <c r="K61" s="287"/>
      <c r="L61" s="287"/>
      <c r="M61" s="287"/>
      <c r="N61" s="287"/>
      <c r="O61" s="288"/>
    </row>
    <row r="62" spans="1:16" ht="22.2" customHeight="1" x14ac:dyDescent="0.45">
      <c r="B62" s="399" t="s">
        <v>263</v>
      </c>
      <c r="C62" s="292" t="str">
        <f>IF(入力フォーム!B130='第１－１号様式'!D62,"☑","□")</f>
        <v>□</v>
      </c>
      <c r="D62" s="238" t="s">
        <v>258</v>
      </c>
      <c r="E62" s="238"/>
      <c r="F62" s="238"/>
      <c r="G62" s="289"/>
      <c r="H62" s="399" t="s">
        <v>253</v>
      </c>
      <c r="I62" s="406"/>
      <c r="J62" s="296" t="str">
        <f>IF(入力フォーム!E138=K62,"☑","□")</f>
        <v>□</v>
      </c>
      <c r="K62" s="238" t="s">
        <v>250</v>
      </c>
      <c r="L62" s="238"/>
      <c r="M62" s="238"/>
      <c r="N62" s="402" t="s">
        <v>248</v>
      </c>
      <c r="O62" s="403"/>
    </row>
    <row r="63" spans="1:16" ht="22.2" customHeight="1" x14ac:dyDescent="0.45">
      <c r="B63" s="400"/>
      <c r="C63" s="299" t="str">
        <f>IF(入力フォーム!B130='第１－１号様式'!D63,"☑","□")</f>
        <v>□</v>
      </c>
      <c r="D63" s="8" t="s">
        <v>259</v>
      </c>
      <c r="G63" s="290"/>
      <c r="H63" s="407"/>
      <c r="I63" s="408"/>
      <c r="J63" s="297" t="str">
        <f>IF(入力フォーム!E138=K63,"☑","□")</f>
        <v>□</v>
      </c>
      <c r="K63" s="8" t="s">
        <v>246</v>
      </c>
      <c r="N63" s="404"/>
      <c r="O63" s="405"/>
    </row>
    <row r="64" spans="1:16" ht="22.2" customHeight="1" x14ac:dyDescent="0.45">
      <c r="B64" s="401"/>
      <c r="C64" s="300" t="str">
        <f>IF(入力フォーム!B130='第１－１号様式'!D64,"☑","□")</f>
        <v>□</v>
      </c>
      <c r="D64" s="291" t="s">
        <v>260</v>
      </c>
      <c r="E64" s="291"/>
      <c r="F64" s="291"/>
      <c r="G64" s="274"/>
      <c r="H64" s="409"/>
      <c r="I64" s="410"/>
      <c r="J64" s="298" t="str">
        <f>IF(入力フォーム!E138=K64,"☑","□")</f>
        <v>□</v>
      </c>
      <c r="K64" s="291" t="s">
        <v>247</v>
      </c>
      <c r="L64" s="291"/>
      <c r="M64" s="291"/>
      <c r="N64" s="422"/>
      <c r="O64" s="423"/>
    </row>
    <row r="65" spans="2:15" ht="19.95" customHeight="1" x14ac:dyDescent="0.45">
      <c r="B65" s="414" t="s">
        <v>261</v>
      </c>
      <c r="C65" s="417" t="str">
        <f>IF(入力フォーム!B131='第１－１号様式'!D65,"☑","□")</f>
        <v>□</v>
      </c>
      <c r="D65" s="402" t="s">
        <v>262</v>
      </c>
      <c r="E65" s="402"/>
      <c r="F65" s="402"/>
      <c r="G65" s="403"/>
      <c r="H65" s="301" t="s">
        <v>249</v>
      </c>
      <c r="I65" s="289"/>
      <c r="J65" s="293" t="str">
        <f>IF(入力フォーム!D140=K65,"☑","□")</f>
        <v>□</v>
      </c>
      <c r="K65" s="238" t="s">
        <v>254</v>
      </c>
      <c r="L65" s="424"/>
      <c r="M65" s="389"/>
      <c r="N65" s="389"/>
      <c r="O65" s="390"/>
    </row>
    <row r="66" spans="2:15" ht="19.95" customHeight="1" x14ac:dyDescent="0.45">
      <c r="B66" s="415"/>
      <c r="C66" s="407"/>
      <c r="D66" s="404"/>
      <c r="E66" s="404"/>
      <c r="F66" s="404"/>
      <c r="G66" s="405"/>
      <c r="H66" s="2" t="s">
        <v>251</v>
      </c>
      <c r="I66" s="290"/>
      <c r="J66" s="294" t="str">
        <f>IF(入力フォーム!D140=K66,"☑","□")</f>
        <v>□</v>
      </c>
      <c r="K66" s="8" t="s">
        <v>255</v>
      </c>
      <c r="L66" s="419"/>
      <c r="M66" s="339"/>
      <c r="N66" s="339"/>
      <c r="O66" s="391"/>
    </row>
    <row r="67" spans="2:15" ht="19.95" customHeight="1" x14ac:dyDescent="0.45">
      <c r="B67" s="415"/>
      <c r="C67" s="407" t="str">
        <f>IF(入力フォーム!B131='第１－１号様式'!D67,"☑","□")</f>
        <v>□</v>
      </c>
      <c r="D67" s="404" t="s">
        <v>264</v>
      </c>
      <c r="E67" s="404"/>
      <c r="F67" s="404"/>
      <c r="G67" s="405"/>
      <c r="H67" s="411" t="s">
        <v>252</v>
      </c>
      <c r="I67" s="410"/>
      <c r="J67" s="295" t="str">
        <f>IF(入力フォーム!D140=K67,"☑","□")</f>
        <v>□</v>
      </c>
      <c r="K67" s="291" t="s">
        <v>256</v>
      </c>
      <c r="L67" s="411"/>
      <c r="M67" s="330"/>
      <c r="N67" s="330"/>
      <c r="O67" s="392"/>
    </row>
    <row r="68" spans="2:15" ht="8.4" customHeight="1" x14ac:dyDescent="0.45">
      <c r="B68" s="415"/>
      <c r="C68" s="407"/>
      <c r="D68" s="404"/>
      <c r="E68" s="404"/>
      <c r="F68" s="404"/>
      <c r="G68" s="405"/>
      <c r="H68" s="417" t="s">
        <v>257</v>
      </c>
      <c r="I68" s="406"/>
      <c r="J68" s="417" t="str">
        <f>IF(入力フォーム!B141&lt;&gt;"",DBCS(入力フォーム!B141)&amp;"名(上限:A×Bの人数以下)","　　　名(上限:A×Bの人数以下)")</f>
        <v>　　　名(上限:A×Bの人数以下)</v>
      </c>
      <c r="K68" s="418"/>
      <c r="L68" s="418"/>
      <c r="M68" s="418"/>
      <c r="N68" s="418"/>
      <c r="O68" s="406"/>
    </row>
    <row r="69" spans="2:15" ht="14.4" customHeight="1" x14ac:dyDescent="0.45">
      <c r="B69" s="415"/>
      <c r="C69" s="407" t="str">
        <f>IF(入力フォーム!B131='第１－１号様式'!D69,"☑","□")</f>
        <v>□</v>
      </c>
      <c r="D69" s="404" t="s">
        <v>265</v>
      </c>
      <c r="E69" s="404"/>
      <c r="F69" s="404"/>
      <c r="G69" s="405"/>
      <c r="H69" s="407"/>
      <c r="I69" s="408"/>
      <c r="J69" s="407"/>
      <c r="K69" s="419"/>
      <c r="L69" s="419"/>
      <c r="M69" s="419"/>
      <c r="N69" s="419"/>
      <c r="O69" s="408"/>
    </row>
    <row r="70" spans="2:15" ht="14.4" customHeight="1" x14ac:dyDescent="0.45">
      <c r="B70" s="415"/>
      <c r="C70" s="407"/>
      <c r="D70" s="404"/>
      <c r="E70" s="404"/>
      <c r="F70" s="404"/>
      <c r="G70" s="405"/>
      <c r="H70" s="407"/>
      <c r="I70" s="408"/>
      <c r="J70" s="420" t="s">
        <v>274</v>
      </c>
      <c r="K70" s="404"/>
      <c r="L70" s="404"/>
      <c r="M70" s="404"/>
      <c r="N70" s="404"/>
      <c r="O70" s="405"/>
    </row>
    <row r="71" spans="2:15" ht="14.4" customHeight="1" x14ac:dyDescent="0.45">
      <c r="B71" s="415"/>
      <c r="C71" s="407" t="str">
        <f>IF(入力フォーム!B131='第１－１号様式'!D71,"☑","□")</f>
        <v>□</v>
      </c>
      <c r="D71" s="404" t="s">
        <v>266</v>
      </c>
      <c r="E71" s="404"/>
      <c r="F71" s="404"/>
      <c r="G71" s="405"/>
      <c r="H71" s="407"/>
      <c r="I71" s="408"/>
      <c r="J71" s="420"/>
      <c r="K71" s="404"/>
      <c r="L71" s="404"/>
      <c r="M71" s="404"/>
      <c r="N71" s="404"/>
      <c r="O71" s="405"/>
    </row>
    <row r="72" spans="2:15" ht="14.4" customHeight="1" x14ac:dyDescent="0.45">
      <c r="B72" s="415"/>
      <c r="C72" s="407"/>
      <c r="D72" s="404"/>
      <c r="E72" s="404"/>
      <c r="F72" s="404"/>
      <c r="G72" s="405"/>
      <c r="H72" s="407"/>
      <c r="I72" s="408"/>
      <c r="J72" s="420"/>
      <c r="K72" s="404"/>
      <c r="L72" s="404"/>
      <c r="M72" s="404"/>
      <c r="N72" s="404"/>
      <c r="O72" s="405"/>
    </row>
    <row r="73" spans="2:15" ht="14.4" customHeight="1" x14ac:dyDescent="0.45">
      <c r="B73" s="415"/>
      <c r="C73" s="420" t="s">
        <v>273</v>
      </c>
      <c r="D73" s="404"/>
      <c r="E73" s="404"/>
      <c r="F73" s="404"/>
      <c r="G73" s="405"/>
      <c r="H73" s="407"/>
      <c r="I73" s="408"/>
      <c r="J73" s="420"/>
      <c r="K73" s="404"/>
      <c r="L73" s="404"/>
      <c r="M73" s="404"/>
      <c r="N73" s="404"/>
      <c r="O73" s="405"/>
    </row>
    <row r="74" spans="2:15" ht="14.4" customHeight="1" x14ac:dyDescent="0.45">
      <c r="B74" s="416"/>
      <c r="C74" s="421"/>
      <c r="D74" s="422"/>
      <c r="E74" s="422"/>
      <c r="F74" s="422"/>
      <c r="G74" s="423"/>
      <c r="H74" s="409"/>
      <c r="I74" s="410"/>
      <c r="J74" s="421"/>
      <c r="K74" s="422"/>
      <c r="L74" s="422"/>
      <c r="M74" s="422"/>
      <c r="N74" s="422"/>
      <c r="O74" s="423"/>
    </row>
    <row r="75" spans="2:15" ht="27.6" customHeight="1" x14ac:dyDescent="0.45">
      <c r="B75" s="393" t="s">
        <v>268</v>
      </c>
      <c r="C75" s="394"/>
      <c r="D75" s="395"/>
      <c r="E75" s="396" t="s">
        <v>269</v>
      </c>
      <c r="F75" s="397"/>
      <c r="G75" s="397"/>
      <c r="H75" s="397"/>
      <c r="I75" s="397"/>
      <c r="J75" s="397"/>
      <c r="K75" s="397"/>
      <c r="L75" s="397"/>
      <c r="M75" s="397"/>
      <c r="N75" s="397"/>
      <c r="O75" s="398"/>
    </row>
    <row r="77" spans="2:15" x14ac:dyDescent="0.45">
      <c r="B77" s="8" t="s">
        <v>333</v>
      </c>
    </row>
    <row r="87" spans="1:8" ht="24.6" customHeight="1" x14ac:dyDescent="0.45">
      <c r="A87" s="16" t="s">
        <v>316</v>
      </c>
      <c r="B87" s="17" t="s">
        <v>317</v>
      </c>
    </row>
    <row r="88" spans="1:8" ht="24.6" customHeight="1" x14ac:dyDescent="0.45">
      <c r="B88" s="8" t="s">
        <v>318</v>
      </c>
      <c r="F88" s="327" t="str">
        <f>TEXT(入力フォーム!B143&amp;"","#,##0")</f>
        <v/>
      </c>
      <c r="G88" s="8" t="s">
        <v>319</v>
      </c>
      <c r="H88" s="2" t="str">
        <f>IF(入力フォーム!E144="", "（令和　　年　　月末現在）", 入力フォーム!E144)</f>
        <v>（令和　　年　　月末現在）</v>
      </c>
    </row>
  </sheetData>
  <dataConsolidate/>
  <mergeCells count="71">
    <mergeCell ref="C60:O60"/>
    <mergeCell ref="B57:B60"/>
    <mergeCell ref="E55:O55"/>
    <mergeCell ref="E56:O56"/>
    <mergeCell ref="B65:B74"/>
    <mergeCell ref="H68:I74"/>
    <mergeCell ref="J68:O69"/>
    <mergeCell ref="J70:O74"/>
    <mergeCell ref="C65:C66"/>
    <mergeCell ref="C67:C68"/>
    <mergeCell ref="D71:G72"/>
    <mergeCell ref="C71:C72"/>
    <mergeCell ref="C73:G74"/>
    <mergeCell ref="C69:C70"/>
    <mergeCell ref="L65:L67"/>
    <mergeCell ref="N62:O64"/>
    <mergeCell ref="M65:O67"/>
    <mergeCell ref="B75:D75"/>
    <mergeCell ref="E75:O75"/>
    <mergeCell ref="B62:B64"/>
    <mergeCell ref="D65:G66"/>
    <mergeCell ref="D67:G68"/>
    <mergeCell ref="D69:G70"/>
    <mergeCell ref="H62:I64"/>
    <mergeCell ref="H67:I67"/>
    <mergeCell ref="E50:M50"/>
    <mergeCell ref="B50:D51"/>
    <mergeCell ref="E51:O51"/>
    <mergeCell ref="I10:K10"/>
    <mergeCell ref="I11:K12"/>
    <mergeCell ref="I15:K15"/>
    <mergeCell ref="I16:K17"/>
    <mergeCell ref="I18:K18"/>
    <mergeCell ref="C42:O42"/>
    <mergeCell ref="C43:O43"/>
    <mergeCell ref="D10:E10"/>
    <mergeCell ref="D15:E15"/>
    <mergeCell ref="D16:E17"/>
    <mergeCell ref="D18:E18"/>
    <mergeCell ref="D11:E12"/>
    <mergeCell ref="N50:O50"/>
    <mergeCell ref="G52:H52"/>
    <mergeCell ref="E57:O57"/>
    <mergeCell ref="E58:O58"/>
    <mergeCell ref="E59:O59"/>
    <mergeCell ref="B52:D52"/>
    <mergeCell ref="B55:D55"/>
    <mergeCell ref="B56:D56"/>
    <mergeCell ref="E52:F52"/>
    <mergeCell ref="I52:M52"/>
    <mergeCell ref="N52:O52"/>
    <mergeCell ref="F10:H10"/>
    <mergeCell ref="F17:H17"/>
    <mergeCell ref="G19:O19"/>
    <mergeCell ref="F12:H12"/>
    <mergeCell ref="G20:O20"/>
    <mergeCell ref="F16:H16"/>
    <mergeCell ref="F11:H11"/>
    <mergeCell ref="F15:H15"/>
    <mergeCell ref="F18:H18"/>
    <mergeCell ref="L10:N10"/>
    <mergeCell ref="L11:O12"/>
    <mergeCell ref="L16:O17"/>
    <mergeCell ref="L18:O18"/>
    <mergeCell ref="L15:O15"/>
    <mergeCell ref="D14:E14"/>
    <mergeCell ref="H47:O47"/>
    <mergeCell ref="C39:O39"/>
    <mergeCell ref="C40:O40"/>
    <mergeCell ref="C41:O41"/>
    <mergeCell ref="C36:G36"/>
  </mergeCells>
  <phoneticPr fontId="1"/>
  <pageMargins left="0.39370078740157483" right="0.39370078740157483" top="0.39370078740157483" bottom="0.39370078740157483" header="0.31496062992125984" footer="0.31496062992125984"/>
  <pageSetup paperSize="9" scale="93" orientation="portrait" r:id="rId1"/>
  <rowBreaks count="1" manualBreakCount="1">
    <brk id="52" max="14" man="1"/>
  </rowBreaks>
  <colBreaks count="1" manualBreakCount="1">
    <brk id="1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32"/>
  <sheetViews>
    <sheetView view="pageBreakPreview" topLeftCell="A4" zoomScaleNormal="100" zoomScaleSheetLayoutView="100" workbookViewId="0">
      <selection activeCell="B18" sqref="B18"/>
    </sheetView>
  </sheetViews>
  <sheetFormatPr defaultRowHeight="13.2" x14ac:dyDescent="0.45"/>
  <cols>
    <col min="1" max="1" width="4.59765625" style="2" customWidth="1"/>
    <col min="2" max="2" width="17.59765625" style="2" customWidth="1"/>
    <col min="3" max="3" width="7.69921875" style="2" customWidth="1"/>
    <col min="4" max="4" width="8.69921875" style="2" customWidth="1"/>
    <col min="5" max="5" width="8.59765625" style="2" customWidth="1"/>
    <col min="6" max="6" width="2.59765625" style="2" customWidth="1"/>
    <col min="7" max="10" width="7.09765625" style="2" customWidth="1"/>
    <col min="11" max="16384" width="8.796875" style="2"/>
  </cols>
  <sheetData>
    <row r="2" spans="1:12" x14ac:dyDescent="0.45">
      <c r="A2" s="1"/>
    </row>
    <row r="5" spans="1:12" ht="16.2" x14ac:dyDescent="0.45">
      <c r="A5" s="3" t="s">
        <v>18</v>
      </c>
    </row>
    <row r="7" spans="1:12" x14ac:dyDescent="0.45">
      <c r="A7" s="2" t="s">
        <v>14</v>
      </c>
    </row>
    <row r="8" spans="1:12" x14ac:dyDescent="0.45">
      <c r="A8" s="2" t="s">
        <v>15</v>
      </c>
    </row>
    <row r="9" spans="1:12" x14ac:dyDescent="0.45">
      <c r="A9" s="2" t="s">
        <v>16</v>
      </c>
    </row>
    <row r="10" spans="1:12" x14ac:dyDescent="0.45">
      <c r="A10" s="2" t="s">
        <v>17</v>
      </c>
    </row>
    <row r="11" spans="1:12" ht="39.6" customHeight="1" x14ac:dyDescent="0.45">
      <c r="A11" s="307" t="s">
        <v>315</v>
      </c>
      <c r="B11" s="307" t="s">
        <v>293</v>
      </c>
      <c r="C11" s="307" t="s">
        <v>294</v>
      </c>
      <c r="D11" s="427" t="s">
        <v>295</v>
      </c>
      <c r="E11" s="365"/>
      <c r="F11" s="356"/>
      <c r="G11" s="355" t="s">
        <v>11</v>
      </c>
      <c r="H11" s="356"/>
      <c r="I11" s="355" t="s">
        <v>3</v>
      </c>
      <c r="J11" s="356"/>
      <c r="K11" s="307" t="s">
        <v>296</v>
      </c>
    </row>
    <row r="12" spans="1:12" ht="52.2" customHeight="1" x14ac:dyDescent="0.45">
      <c r="A12" s="4" t="str">
        <f>IF(B12="", "",1)</f>
        <v/>
      </c>
      <c r="B12" s="15" t="str">
        <f>入力フォーム!B31&amp;""</f>
        <v/>
      </c>
      <c r="C12" s="14" t="str">
        <f>入力フォーム!B32&amp;""</f>
        <v/>
      </c>
      <c r="D12" s="5"/>
      <c r="E12" s="311"/>
      <c r="F12" s="6" t="s">
        <v>13</v>
      </c>
      <c r="G12" s="428" t="str">
        <f>入力フォーム!B33&amp;""</f>
        <v/>
      </c>
      <c r="H12" s="429"/>
      <c r="I12" s="355" t="str">
        <f>入力フォーム!B34&amp;""</f>
        <v/>
      </c>
      <c r="J12" s="356"/>
      <c r="K12" s="14" t="str">
        <f>TEXT(入力フォーム!B35&amp;"","#,##0")</f>
        <v/>
      </c>
      <c r="L12" s="2" t="s">
        <v>29</v>
      </c>
    </row>
    <row r="13" spans="1:12" ht="52.2" customHeight="1" x14ac:dyDescent="0.45">
      <c r="A13" s="4" t="str">
        <f>IF(B13="", "",2)</f>
        <v/>
      </c>
      <c r="B13" s="15" t="str">
        <f>入力フォーム!B36&amp;""</f>
        <v/>
      </c>
      <c r="C13" s="14" t="str">
        <f>入力フォーム!B37&amp;""</f>
        <v/>
      </c>
      <c r="D13" s="5"/>
      <c r="E13" s="311"/>
      <c r="F13" s="6" t="s">
        <v>13</v>
      </c>
      <c r="G13" s="428" t="str">
        <f>入力フォーム!B38&amp;""</f>
        <v/>
      </c>
      <c r="H13" s="429"/>
      <c r="I13" s="355" t="str">
        <f>入力フォーム!B39&amp;""</f>
        <v/>
      </c>
      <c r="J13" s="356"/>
      <c r="K13" s="14" t="str">
        <f>TEXT(入力フォーム!B40&amp;"","#,##0")</f>
        <v/>
      </c>
      <c r="L13" s="2" t="s">
        <v>29</v>
      </c>
    </row>
    <row r="14" spans="1:12" ht="52.2" customHeight="1" x14ac:dyDescent="0.45">
      <c r="A14" s="4" t="str">
        <f>IF(B14="", "",3)</f>
        <v/>
      </c>
      <c r="B14" s="15" t="str">
        <f>入力フォーム!B41&amp;""</f>
        <v/>
      </c>
      <c r="C14" s="14" t="str">
        <f>入力フォーム!B42&amp;""</f>
        <v/>
      </c>
      <c r="D14" s="5"/>
      <c r="E14" s="311"/>
      <c r="F14" s="6" t="s">
        <v>13</v>
      </c>
      <c r="G14" s="428" t="str">
        <f>入力フォーム!B43&amp;""</f>
        <v/>
      </c>
      <c r="H14" s="429"/>
      <c r="I14" s="355" t="str">
        <f>入力フォーム!B44&amp;""</f>
        <v/>
      </c>
      <c r="J14" s="356"/>
      <c r="K14" s="14" t="str">
        <f>TEXT(入力フォーム!B45&amp;"","#,##0")</f>
        <v/>
      </c>
      <c r="L14" s="2" t="s">
        <v>29</v>
      </c>
    </row>
    <row r="15" spans="1:12" ht="52.2" customHeight="1" x14ac:dyDescent="0.45">
      <c r="A15" s="4" t="str">
        <f>IF(B15="", "",4)</f>
        <v/>
      </c>
      <c r="B15" s="15" t="str">
        <f>入力フォーム!B46&amp;""</f>
        <v/>
      </c>
      <c r="C15" s="14" t="str">
        <f>入力フォーム!B47&amp;""</f>
        <v/>
      </c>
      <c r="D15" s="5"/>
      <c r="E15" s="311"/>
      <c r="F15" s="6" t="s">
        <v>13</v>
      </c>
      <c r="G15" s="428" t="str">
        <f>入力フォーム!B48&amp;""</f>
        <v/>
      </c>
      <c r="H15" s="429"/>
      <c r="I15" s="355" t="str">
        <f>入力フォーム!B49&amp;""</f>
        <v/>
      </c>
      <c r="J15" s="356"/>
      <c r="K15" s="14" t="str">
        <f>TEXT(入力フォーム!B50&amp;"","#,##0")</f>
        <v/>
      </c>
      <c r="L15" s="2" t="s">
        <v>29</v>
      </c>
    </row>
    <row r="16" spans="1:12" ht="52.2" customHeight="1" x14ac:dyDescent="0.45">
      <c r="A16" s="4" t="str">
        <f>IF(B16="", "",5)</f>
        <v/>
      </c>
      <c r="B16" s="15" t="str">
        <f>入力フォーム!B51&amp;""</f>
        <v/>
      </c>
      <c r="C16" s="14" t="str">
        <f>入力フォーム!B52&amp;""</f>
        <v/>
      </c>
      <c r="D16" s="5"/>
      <c r="E16" s="311"/>
      <c r="F16" s="6" t="s">
        <v>13</v>
      </c>
      <c r="G16" s="428" t="str">
        <f>入力フォーム!B53&amp;""</f>
        <v/>
      </c>
      <c r="H16" s="429"/>
      <c r="I16" s="355" t="str">
        <f>入力フォーム!B54&amp;""</f>
        <v/>
      </c>
      <c r="J16" s="356"/>
      <c r="K16" s="14" t="str">
        <f>TEXT(入力フォーム!B55&amp;"","#,##0")</f>
        <v/>
      </c>
      <c r="L16" s="2" t="s">
        <v>29</v>
      </c>
    </row>
    <row r="17" spans="1:12" ht="52.2" customHeight="1" x14ac:dyDescent="0.45">
      <c r="A17" s="4" t="str">
        <f>IF(B17="", "",6)</f>
        <v/>
      </c>
      <c r="B17" s="15" t="str">
        <f>入力フォーム!B56&amp;""</f>
        <v/>
      </c>
      <c r="C17" s="14" t="str">
        <f>入力フォーム!B57&amp;""</f>
        <v/>
      </c>
      <c r="D17" s="5"/>
      <c r="E17" s="311"/>
      <c r="F17" s="6" t="s">
        <v>13</v>
      </c>
      <c r="G17" s="428" t="str">
        <f>入力フォーム!B58&amp;""</f>
        <v/>
      </c>
      <c r="H17" s="429"/>
      <c r="I17" s="355" t="str">
        <f>入力フォーム!B59&amp;""</f>
        <v/>
      </c>
      <c r="J17" s="356"/>
      <c r="K17" s="14" t="str">
        <f>TEXT(入力フォーム!B60&amp;"","#,##0")</f>
        <v/>
      </c>
      <c r="L17" s="2" t="s">
        <v>29</v>
      </c>
    </row>
    <row r="18" spans="1:12" ht="52.2" customHeight="1" x14ac:dyDescent="0.45">
      <c r="A18" s="4" t="str">
        <f>IF(B18="", "",7)</f>
        <v/>
      </c>
      <c r="B18" s="15" t="str">
        <f>入力フォーム!B61&amp;""</f>
        <v/>
      </c>
      <c r="C18" s="14" t="str">
        <f>入力フォーム!B62&amp;""</f>
        <v/>
      </c>
      <c r="D18" s="5"/>
      <c r="E18" s="311"/>
      <c r="F18" s="6" t="s">
        <v>13</v>
      </c>
      <c r="G18" s="428" t="str">
        <f>入力フォーム!B63&amp;""</f>
        <v/>
      </c>
      <c r="H18" s="429"/>
      <c r="I18" s="355" t="str">
        <f>入力フォーム!B64&amp;""</f>
        <v/>
      </c>
      <c r="J18" s="356"/>
      <c r="K18" s="14" t="str">
        <f>TEXT(入力フォーム!B65&amp;"","#,##0")</f>
        <v/>
      </c>
      <c r="L18" s="2" t="s">
        <v>29</v>
      </c>
    </row>
    <row r="20" spans="1:12" x14ac:dyDescent="0.45">
      <c r="B20" s="2" t="s">
        <v>285</v>
      </c>
    </row>
    <row r="21" spans="1:12" x14ac:dyDescent="0.45">
      <c r="B21" s="2" t="s">
        <v>286</v>
      </c>
    </row>
    <row r="22" spans="1:12" ht="13.2" customHeight="1" x14ac:dyDescent="0.45">
      <c r="B22" s="353" t="s">
        <v>287</v>
      </c>
      <c r="C22" s="353"/>
      <c r="D22" s="353"/>
      <c r="E22" s="353"/>
      <c r="F22" s="353"/>
      <c r="G22" s="353"/>
      <c r="H22" s="353"/>
      <c r="I22" s="353"/>
      <c r="J22" s="431"/>
      <c r="K22" s="431"/>
    </row>
    <row r="23" spans="1:12" ht="13.2" customHeight="1" x14ac:dyDescent="0.45">
      <c r="B23" s="427" t="s">
        <v>289</v>
      </c>
      <c r="C23" s="430"/>
      <c r="D23" s="310" t="s">
        <v>290</v>
      </c>
      <c r="E23" s="310" t="s">
        <v>291</v>
      </c>
      <c r="F23" s="427" t="s">
        <v>292</v>
      </c>
      <c r="G23" s="430"/>
      <c r="H23" s="310" t="s">
        <v>297</v>
      </c>
      <c r="I23" s="310" t="s">
        <v>298</v>
      </c>
      <c r="J23" s="312"/>
      <c r="K23" s="303"/>
    </row>
    <row r="24" spans="1:12" ht="28.05" customHeight="1" x14ac:dyDescent="0.45">
      <c r="B24" s="425">
        <f>IF(OR(入力フォーム!B22="Ｃ　複数の単一町会・自治会が共同して実施する取組",入力フォーム!B22="Ｄ　単一の町会・自治会が他の地域団体と連携して実施する取組"),入力フォーム!B2,"(申請団体)")</f>
        <v>0</v>
      </c>
      <c r="C24" s="426"/>
      <c r="D24" s="14" t="str">
        <f>IF(入力フォーム!B68="☑","☑","")</f>
        <v/>
      </c>
      <c r="E24" s="14" t="str">
        <f>IF(入力フォーム!B69="☑","☑","")</f>
        <v/>
      </c>
      <c r="F24" s="355" t="str">
        <f>IF(入力フォーム!B70="☑","☑","")</f>
        <v/>
      </c>
      <c r="G24" s="356"/>
      <c r="H24" s="14" t="str">
        <f>IF(入力フォーム!B71="☑","☑","")</f>
        <v/>
      </c>
      <c r="I24" s="14" t="str">
        <f>IF(入力フォーム!B72="☑","☑","")</f>
        <v/>
      </c>
      <c r="J24" s="313"/>
    </row>
    <row r="25" spans="1:12" ht="28.05" customHeight="1" x14ac:dyDescent="0.45">
      <c r="B25" s="425" t="str">
        <f>B12</f>
        <v/>
      </c>
      <c r="C25" s="426"/>
      <c r="D25" s="14" t="str">
        <f>IF(入力フォーム!B74="☑","☑","")</f>
        <v/>
      </c>
      <c r="E25" s="14" t="str">
        <f>IF(入力フォーム!B75="☑","☑","")</f>
        <v/>
      </c>
      <c r="F25" s="355" t="str">
        <f>IF(入力フォーム!B76="☑","☑","")</f>
        <v/>
      </c>
      <c r="G25" s="356"/>
      <c r="H25" s="14" t="str">
        <f>IF(入力フォーム!B77="☑","☑","")</f>
        <v/>
      </c>
      <c r="I25" s="14" t="str">
        <f>IF(入力フォーム!B78="☑","☑","")</f>
        <v/>
      </c>
      <c r="J25" s="313"/>
    </row>
    <row r="26" spans="1:12" ht="28.05" customHeight="1" x14ac:dyDescent="0.45">
      <c r="B26" s="425" t="str">
        <f t="shared" ref="B26:B31" si="0">B13</f>
        <v/>
      </c>
      <c r="C26" s="426"/>
      <c r="D26" s="14" t="str">
        <f>IF(入力フォーム!B80="☑","☑","")</f>
        <v/>
      </c>
      <c r="E26" s="14" t="str">
        <f>IF(入力フォーム!B81="☑","☑","")</f>
        <v/>
      </c>
      <c r="F26" s="355" t="str">
        <f>IF(入力フォーム!B82="☑","☑","")</f>
        <v/>
      </c>
      <c r="G26" s="356"/>
      <c r="H26" s="14" t="str">
        <f>IF(入力フォーム!B83="☑","☑","")</f>
        <v/>
      </c>
      <c r="I26" s="14" t="str">
        <f>IF(入力フォーム!B84="☑","☑","")</f>
        <v/>
      </c>
      <c r="J26" s="313"/>
    </row>
    <row r="27" spans="1:12" ht="28.05" customHeight="1" x14ac:dyDescent="0.45">
      <c r="B27" s="425" t="str">
        <f t="shared" si="0"/>
        <v/>
      </c>
      <c r="C27" s="426"/>
      <c r="D27" s="14" t="str">
        <f>IF(入力フォーム!B86="☑","☑","")</f>
        <v/>
      </c>
      <c r="E27" s="14" t="str">
        <f>IF(入力フォーム!B87="☑","☑","")</f>
        <v/>
      </c>
      <c r="F27" s="355" t="str">
        <f>IF(入力フォーム!B88="☑","☑","")</f>
        <v/>
      </c>
      <c r="G27" s="356"/>
      <c r="H27" s="14" t="str">
        <f>IF(入力フォーム!B89="☑","☑","")</f>
        <v/>
      </c>
      <c r="I27" s="14" t="str">
        <f>IF(入力フォーム!B90="☑","☑","")</f>
        <v/>
      </c>
      <c r="J27" s="313"/>
    </row>
    <row r="28" spans="1:12" ht="28.05" customHeight="1" x14ac:dyDescent="0.45">
      <c r="B28" s="425" t="str">
        <f t="shared" si="0"/>
        <v/>
      </c>
      <c r="C28" s="426"/>
      <c r="D28" s="14" t="str">
        <f>IF(入力フォーム!B92="☑","☑","")</f>
        <v/>
      </c>
      <c r="E28" s="14" t="str">
        <f>IF(入力フォーム!B93="☑","☑","")</f>
        <v/>
      </c>
      <c r="F28" s="355" t="str">
        <f>IF(入力フォーム!B94="☑","☑","")</f>
        <v/>
      </c>
      <c r="G28" s="356"/>
      <c r="H28" s="14" t="str">
        <f>IF(入力フォーム!B95="☑","☑","")</f>
        <v/>
      </c>
      <c r="I28" s="14" t="str">
        <f>IF(入力フォーム!B96="☑","☑","")</f>
        <v/>
      </c>
      <c r="J28" s="313"/>
    </row>
    <row r="29" spans="1:12" ht="28.05" customHeight="1" x14ac:dyDescent="0.45">
      <c r="B29" s="425" t="str">
        <f t="shared" si="0"/>
        <v/>
      </c>
      <c r="C29" s="426"/>
      <c r="D29" s="14" t="str">
        <f>IF(入力フォーム!B98="☑","☑","")</f>
        <v/>
      </c>
      <c r="E29" s="14" t="str">
        <f>IF(入力フォーム!B99="☑","☑","")</f>
        <v/>
      </c>
      <c r="F29" s="355" t="str">
        <f>IF(入力フォーム!B100="☑","☑","")</f>
        <v/>
      </c>
      <c r="G29" s="356"/>
      <c r="H29" s="14" t="str">
        <f>IF(入力フォーム!B101="☑","☑","")</f>
        <v/>
      </c>
      <c r="I29" s="14" t="str">
        <f>IF(入力フォーム!B102="☑","☑","")</f>
        <v/>
      </c>
      <c r="J29" s="313"/>
    </row>
    <row r="30" spans="1:12" ht="28.05" customHeight="1" x14ac:dyDescent="0.45">
      <c r="B30" s="425" t="str">
        <f t="shared" si="0"/>
        <v/>
      </c>
      <c r="C30" s="426"/>
      <c r="D30" s="14" t="str">
        <f>IF(入力フォーム!B104="☑","☑","")</f>
        <v/>
      </c>
      <c r="E30" s="14" t="str">
        <f>IF(入力フォーム!B105="☑","☑","")</f>
        <v/>
      </c>
      <c r="F30" s="355" t="str">
        <f>IF(入力フォーム!B106="☑","☑","")</f>
        <v/>
      </c>
      <c r="G30" s="356"/>
      <c r="H30" s="14" t="str">
        <f>IF(入力フォーム!B107="☑","☑","")</f>
        <v/>
      </c>
      <c r="I30" s="14" t="str">
        <f>IF(入力フォーム!B108="☑","☑","")</f>
        <v/>
      </c>
      <c r="J30" s="313"/>
    </row>
    <row r="31" spans="1:12" ht="28.05" customHeight="1" x14ac:dyDescent="0.45">
      <c r="B31" s="425" t="str">
        <f t="shared" si="0"/>
        <v/>
      </c>
      <c r="C31" s="426"/>
      <c r="D31" s="14" t="str">
        <f>IF(入力フォーム!B110="☑","☑","")</f>
        <v/>
      </c>
      <c r="E31" s="14" t="str">
        <f>IF(入力フォーム!B111="☑","☑","")</f>
        <v/>
      </c>
      <c r="F31" s="355" t="str">
        <f>IF(入力フォーム!B112="☑","☑","")</f>
        <v/>
      </c>
      <c r="G31" s="356"/>
      <c r="H31" s="14" t="str">
        <f>IF(入力フォーム!B113="☑","☑","")</f>
        <v/>
      </c>
      <c r="I31" s="14" t="str">
        <f>IF(入力フォーム!B114="☑","☑","")</f>
        <v/>
      </c>
      <c r="J31" s="313"/>
    </row>
    <row r="32" spans="1:12" x14ac:dyDescent="0.45">
      <c r="B32" s="2" t="s">
        <v>288</v>
      </c>
    </row>
  </sheetData>
  <mergeCells count="36">
    <mergeCell ref="B27:C27"/>
    <mergeCell ref="B28:C28"/>
    <mergeCell ref="B29:C29"/>
    <mergeCell ref="B30:C30"/>
    <mergeCell ref="B22:K22"/>
    <mergeCell ref="B23:C23"/>
    <mergeCell ref="B24:C24"/>
    <mergeCell ref="B25:C25"/>
    <mergeCell ref="F28:G28"/>
    <mergeCell ref="F29:G29"/>
    <mergeCell ref="F30:G30"/>
    <mergeCell ref="B31:C31"/>
    <mergeCell ref="G11:H11"/>
    <mergeCell ref="D11:F11"/>
    <mergeCell ref="G12:H12"/>
    <mergeCell ref="G13:H13"/>
    <mergeCell ref="G14:H14"/>
    <mergeCell ref="G15:H15"/>
    <mergeCell ref="G16:H16"/>
    <mergeCell ref="G17:H17"/>
    <mergeCell ref="G18:H18"/>
    <mergeCell ref="F23:G23"/>
    <mergeCell ref="F24:G24"/>
    <mergeCell ref="F25:G25"/>
    <mergeCell ref="F26:G26"/>
    <mergeCell ref="F27:G27"/>
    <mergeCell ref="B26:C26"/>
    <mergeCell ref="F31:G31"/>
    <mergeCell ref="I11:J11"/>
    <mergeCell ref="I12:J12"/>
    <mergeCell ref="I13:J13"/>
    <mergeCell ref="I14:J14"/>
    <mergeCell ref="I15:J15"/>
    <mergeCell ref="I16:J16"/>
    <mergeCell ref="I17:J17"/>
    <mergeCell ref="I18:J18"/>
  </mergeCells>
  <phoneticPr fontId="1"/>
  <printOptions horizontalCentered="1"/>
  <pageMargins left="0.51181102362204722" right="0.51181102362204722" top="0.74803149606299213" bottom="0.39370078740157483" header="0.31496062992125984" footer="0.31496062992125984"/>
  <pageSetup paperSize="9" scale="8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64"/>
  <sheetViews>
    <sheetView showGridLines="0" view="pageBreakPreview" zoomScaleNormal="100" zoomScaleSheetLayoutView="100" workbookViewId="0">
      <selection activeCell="I3" sqref="I3:J3"/>
    </sheetView>
  </sheetViews>
  <sheetFormatPr defaultRowHeight="12" x14ac:dyDescent="0.45"/>
  <cols>
    <col min="1" max="1" width="0.69921875" style="28" customWidth="1"/>
    <col min="2" max="3" width="2" style="28" customWidth="1"/>
    <col min="4" max="4" width="3.3984375" style="28" customWidth="1"/>
    <col min="5" max="5" width="4.296875" style="28" customWidth="1"/>
    <col min="6" max="6" width="5.3984375" style="28" customWidth="1"/>
    <col min="7" max="7" width="45" style="28" customWidth="1"/>
    <col min="8" max="8" width="9.19921875" style="28" customWidth="1"/>
    <col min="9" max="9" width="8.796875" style="28" customWidth="1"/>
    <col min="10" max="10" width="12.3984375" style="28" customWidth="1"/>
    <col min="11" max="11" width="7.3984375" style="28" customWidth="1"/>
    <col min="12" max="16384" width="8.796875" style="28"/>
  </cols>
  <sheetData>
    <row r="1" spans="2:10" x14ac:dyDescent="0.45">
      <c r="B1" s="28" t="s">
        <v>224</v>
      </c>
    </row>
    <row r="2" spans="2:10" ht="6" customHeight="1" thickBot="1" x14ac:dyDescent="0.5"/>
    <row r="3" spans="2:10" ht="22.2" customHeight="1" thickBot="1" x14ac:dyDescent="0.5">
      <c r="B3" s="434" t="s">
        <v>40</v>
      </c>
      <c r="C3" s="435"/>
      <c r="D3" s="435"/>
      <c r="E3" s="435"/>
      <c r="F3" s="436"/>
      <c r="H3" s="29" t="s">
        <v>41</v>
      </c>
      <c r="I3" s="437" t="str">
        <f>入力フォーム!B2&amp;""</f>
        <v/>
      </c>
      <c r="J3" s="438"/>
    </row>
    <row r="4" spans="2:10" ht="12.6" thickBot="1" x14ac:dyDescent="0.2">
      <c r="J4" s="30" t="s">
        <v>42</v>
      </c>
    </row>
    <row r="5" spans="2:10" x14ac:dyDescent="0.45">
      <c r="B5" s="454" t="s">
        <v>43</v>
      </c>
      <c r="C5" s="455"/>
      <c r="D5" s="455"/>
      <c r="E5" s="455"/>
      <c r="F5" s="456"/>
      <c r="G5" s="457" t="s">
        <v>44</v>
      </c>
      <c r="H5" s="455"/>
      <c r="I5" s="455"/>
      <c r="J5" s="225" t="s">
        <v>45</v>
      </c>
    </row>
    <row r="6" spans="2:10" ht="5.4" customHeight="1" x14ac:dyDescent="0.45">
      <c r="B6" s="31"/>
      <c r="G6" s="450"/>
      <c r="H6" s="451"/>
      <c r="I6" s="451"/>
      <c r="J6" s="226"/>
    </row>
    <row r="7" spans="2:10" ht="12" customHeight="1" x14ac:dyDescent="0.45">
      <c r="B7" s="31" t="s">
        <v>46</v>
      </c>
      <c r="G7" s="441"/>
      <c r="H7" s="442"/>
      <c r="I7" s="442"/>
      <c r="J7" s="226"/>
    </row>
    <row r="8" spans="2:10" ht="12" customHeight="1" x14ac:dyDescent="0.45">
      <c r="B8" s="31"/>
      <c r="C8" s="32">
        <v>1</v>
      </c>
      <c r="D8" s="452" t="s">
        <v>47</v>
      </c>
      <c r="E8" s="452"/>
      <c r="F8" s="453"/>
      <c r="G8" s="458" t="s">
        <v>48</v>
      </c>
      <c r="H8" s="459"/>
      <c r="I8" s="459"/>
      <c r="J8" s="227" t="str">
        <f>IFERROR(TEXT(入力フォーム!B270&amp;"", "#,##0"),"")</f>
        <v/>
      </c>
    </row>
    <row r="9" spans="2:10" ht="12" customHeight="1" x14ac:dyDescent="0.45">
      <c r="B9" s="31"/>
      <c r="C9" s="54"/>
      <c r="D9" s="448" t="s">
        <v>49</v>
      </c>
      <c r="E9" s="448"/>
      <c r="F9" s="449"/>
      <c r="G9" s="441"/>
      <c r="H9" s="460"/>
      <c r="I9" s="460"/>
      <c r="J9" s="228"/>
    </row>
    <row r="10" spans="2:10" ht="12" customHeight="1" x14ac:dyDescent="0.45">
      <c r="B10" s="31"/>
      <c r="C10" s="28">
        <v>2</v>
      </c>
      <c r="D10" s="439" t="s">
        <v>50</v>
      </c>
      <c r="E10" s="439"/>
      <c r="F10" s="440"/>
      <c r="G10" s="458" t="s">
        <v>51</v>
      </c>
      <c r="H10" s="459"/>
      <c r="I10" s="459"/>
      <c r="J10" s="229" t="str">
        <f>IFERROR(TEXT(入力フォーム!B269&amp;"", "#,##0"),"")</f>
        <v/>
      </c>
    </row>
    <row r="11" spans="2:10" ht="12" customHeight="1" x14ac:dyDescent="0.45">
      <c r="B11" s="31"/>
      <c r="G11" s="441" t="str">
        <f>入力フォーム!B264&amp;""</f>
        <v/>
      </c>
      <c r="H11" s="442"/>
      <c r="I11" s="442"/>
      <c r="J11" s="229" t="str">
        <f>IFERROR(TEXT(入力フォーム!B265&amp;"", "#,##0"),"")</f>
        <v/>
      </c>
    </row>
    <row r="12" spans="2:10" ht="12" customHeight="1" x14ac:dyDescent="0.45">
      <c r="B12" s="31"/>
      <c r="C12" s="33" t="s">
        <v>52</v>
      </c>
      <c r="D12" s="33"/>
      <c r="E12" s="33"/>
      <c r="F12" s="33"/>
      <c r="G12" s="443"/>
      <c r="H12" s="444"/>
      <c r="I12" s="444"/>
      <c r="J12" s="230" t="str">
        <f>IFERROR(J8+J10+IF(J11="",0,J11), "")</f>
        <v/>
      </c>
    </row>
    <row r="13" spans="2:10" x14ac:dyDescent="0.45">
      <c r="B13" s="445" t="s">
        <v>53</v>
      </c>
      <c r="C13" s="446"/>
      <c r="D13" s="446"/>
      <c r="E13" s="446"/>
      <c r="F13" s="447"/>
      <c r="G13" s="34" t="s">
        <v>210</v>
      </c>
      <c r="H13" s="35" t="s">
        <v>134</v>
      </c>
      <c r="I13" s="34" t="s">
        <v>55</v>
      </c>
      <c r="J13" s="231" t="s">
        <v>135</v>
      </c>
    </row>
    <row r="14" spans="2:10" ht="5.4" customHeight="1" x14ac:dyDescent="0.45">
      <c r="B14" s="31"/>
      <c r="G14" s="36"/>
      <c r="H14" s="37"/>
      <c r="I14" s="38"/>
      <c r="J14" s="226"/>
    </row>
    <row r="15" spans="2:10" ht="12" customHeight="1" x14ac:dyDescent="0.45">
      <c r="B15" s="31" t="s">
        <v>56</v>
      </c>
      <c r="G15" s="36"/>
      <c r="H15" s="37"/>
      <c r="I15" s="38"/>
      <c r="J15" s="226"/>
    </row>
    <row r="16" spans="2:10" ht="12" customHeight="1" x14ac:dyDescent="0.45">
      <c r="B16" s="31"/>
      <c r="C16" s="448" t="s">
        <v>57</v>
      </c>
      <c r="D16" s="448"/>
      <c r="E16" s="448"/>
      <c r="F16" s="449"/>
      <c r="G16" s="36"/>
      <c r="H16" s="37"/>
      <c r="I16" s="38"/>
      <c r="J16" s="226"/>
    </row>
    <row r="17" spans="2:10" ht="12" customHeight="1" x14ac:dyDescent="0.45">
      <c r="B17" s="31"/>
      <c r="C17" s="39"/>
      <c r="D17" s="40" t="s">
        <v>58</v>
      </c>
      <c r="E17" s="439" t="s">
        <v>59</v>
      </c>
      <c r="F17" s="440"/>
      <c r="G17" s="89" t="str">
        <f>入力フォーム!B147&amp;""</f>
        <v/>
      </c>
      <c r="H17" s="97" t="str">
        <f>IF(MOD(入力フォーム!B148,1)=0, TEXT(入力フォーム!B148&amp;"", "#,##0"), TEXT(入力フォーム!B148, "#,##0.00"))</f>
        <v/>
      </c>
      <c r="I17" s="103" t="str">
        <f>TEXT(入力フォーム!B149&amp;"", "#,##0")</f>
        <v/>
      </c>
      <c r="J17" s="227" t="str">
        <f>IFERROR(H17*IF(I17="一式", 1, I17),"")</f>
        <v/>
      </c>
    </row>
    <row r="18" spans="2:10" ht="12" customHeight="1" x14ac:dyDescent="0.45">
      <c r="B18" s="31"/>
      <c r="D18" s="41"/>
      <c r="G18" s="87" t="str">
        <f>入力フォーム!B150&amp;""</f>
        <v/>
      </c>
      <c r="H18" s="98" t="str">
        <f>IF(MOD(入力フォーム!B151,1)=0, TEXT(入力フォーム!B151&amp;"", "#,##0"), TEXT(入力フォーム!B151, "#,##0.00"))</f>
        <v/>
      </c>
      <c r="I18" s="104" t="str">
        <f>TEXT(入力フォーム!B152&amp;"", "#,##0")</f>
        <v/>
      </c>
      <c r="J18" s="229" t="str">
        <f t="shared" ref="J18:J20" si="0">IFERROR(H18*IF(I18="一式", 1, I18),"")</f>
        <v/>
      </c>
    </row>
    <row r="19" spans="2:10" ht="12" customHeight="1" x14ac:dyDescent="0.45">
      <c r="B19" s="31"/>
      <c r="D19" s="41"/>
      <c r="G19" s="87" t="str">
        <f>入力フォーム!B153&amp;""</f>
        <v/>
      </c>
      <c r="H19" s="98" t="str">
        <f>IF(MOD(入力フォーム!B154,1)=0, TEXT(入力フォーム!B154&amp;"", "#,##0"), TEXT(入力フォーム!B154, "#,##0.00"))</f>
        <v/>
      </c>
      <c r="I19" s="104" t="str">
        <f>TEXT(入力フォーム!B155&amp;"", "#,##0")</f>
        <v/>
      </c>
      <c r="J19" s="229" t="str">
        <f t="shared" si="0"/>
        <v/>
      </c>
    </row>
    <row r="20" spans="2:10" ht="12" customHeight="1" x14ac:dyDescent="0.45">
      <c r="B20" s="31"/>
      <c r="D20" s="41"/>
      <c r="E20" s="54"/>
      <c r="F20" s="54"/>
      <c r="G20" s="90" t="str">
        <f>入力フォーム!B156&amp;""</f>
        <v/>
      </c>
      <c r="H20" s="99" t="str">
        <f>IF(MOD(入力フォーム!B157,1)=0, TEXT(入力フォーム!B157&amp;"", "#,##0"), TEXT(入力フォーム!B157, "#,##0.00"))</f>
        <v/>
      </c>
      <c r="I20" s="105" t="str">
        <f>TEXT(入力フォーム!B158&amp;"", "#,##0")</f>
        <v/>
      </c>
      <c r="J20" s="228" t="str">
        <f t="shared" si="0"/>
        <v/>
      </c>
    </row>
    <row r="21" spans="2:10" ht="12" customHeight="1" x14ac:dyDescent="0.45">
      <c r="B21" s="31"/>
      <c r="D21" s="40" t="s">
        <v>60</v>
      </c>
      <c r="E21" s="439" t="s">
        <v>62</v>
      </c>
      <c r="F21" s="440"/>
      <c r="G21" s="89" t="str">
        <f>入力フォーム!B160&amp;""</f>
        <v/>
      </c>
      <c r="H21" s="97" t="str">
        <f>IF(MOD(入力フォーム!B161,1)=0, TEXT(入力フォーム!B161&amp;"", "#,##0"), TEXT(入力フォーム!B161, "#,##0.00"))</f>
        <v/>
      </c>
      <c r="I21" s="103" t="str">
        <f>TEXT(入力フォーム!B162&amp;"","#,##0")</f>
        <v/>
      </c>
      <c r="J21" s="227" t="str">
        <f t="shared" ref="J21:J22" si="1">IFERROR(H21*IF(I21="一式", 1, I21),"")</f>
        <v/>
      </c>
    </row>
    <row r="22" spans="2:10" ht="12" customHeight="1" x14ac:dyDescent="0.45">
      <c r="B22" s="31"/>
      <c r="D22" s="41"/>
      <c r="G22" s="87" t="str">
        <f>入力フォーム!B163&amp;""</f>
        <v/>
      </c>
      <c r="H22" s="98" t="str">
        <f>IF(MOD(入力フォーム!B164,1)=0, TEXT(入力フォーム!B164&amp;"", "#,##0"), TEXT(入力フォーム!B164, "#,##0.00"))</f>
        <v/>
      </c>
      <c r="I22" s="104" t="str">
        <f>TEXT(入力フォーム!B165&amp;"","#,##0")</f>
        <v/>
      </c>
      <c r="J22" s="229" t="str">
        <f t="shared" si="1"/>
        <v/>
      </c>
    </row>
    <row r="23" spans="2:10" ht="12" customHeight="1" x14ac:dyDescent="0.45">
      <c r="B23" s="31"/>
      <c r="D23" s="41"/>
      <c r="G23" s="87" t="str">
        <f>入力フォーム!B166&amp;""</f>
        <v/>
      </c>
      <c r="H23" s="98" t="str">
        <f>IF(MOD(入力フォーム!B167,1)=0, TEXT(入力フォーム!B167&amp;"", "#,##0"), TEXT(入力フォーム!B167, "#,##0.00"))</f>
        <v/>
      </c>
      <c r="I23" s="104" t="str">
        <f>TEXT(入力フォーム!B168&amp;"","#,##0")</f>
        <v/>
      </c>
      <c r="J23" s="229" t="str">
        <f>IFERROR(H23*IF(I23="一式", 1, I23),"")</f>
        <v/>
      </c>
    </row>
    <row r="24" spans="2:10" ht="12" customHeight="1" x14ac:dyDescent="0.45">
      <c r="B24" s="31"/>
      <c r="D24" s="41"/>
      <c r="G24" s="87" t="str">
        <f>入力フォーム!B169&amp;""</f>
        <v/>
      </c>
      <c r="H24" s="98" t="str">
        <f>IF(MOD(入力フォーム!B170,1)=0, TEXT(入力フォーム!B170&amp;"", "#,##0"), TEXT(入力フォーム!B170, "#,##0.00"))</f>
        <v/>
      </c>
      <c r="I24" s="104" t="str">
        <f>TEXT(入力フォーム!B171&amp;"","#,##0")</f>
        <v/>
      </c>
      <c r="J24" s="229" t="str">
        <f t="shared" ref="J24:J49" si="2">IFERROR(H24*IF(I24="一式", 1, I24),"")</f>
        <v/>
      </c>
    </row>
    <row r="25" spans="2:10" ht="12" customHeight="1" x14ac:dyDescent="0.45">
      <c r="B25" s="31"/>
      <c r="D25" s="41"/>
      <c r="G25" s="87" t="str">
        <f>入力フォーム!B172&amp;""</f>
        <v/>
      </c>
      <c r="H25" s="98" t="str">
        <f>IF(MOD(入力フォーム!B173,1)=0, TEXT(入力フォーム!B173&amp;"", "#,##0"), TEXT(入力フォーム!B173, "#,##0.00"))</f>
        <v/>
      </c>
      <c r="I25" s="104" t="str">
        <f>TEXT(入力フォーム!B174&amp;"","#,##0")</f>
        <v/>
      </c>
      <c r="J25" s="229" t="str">
        <f t="shared" si="2"/>
        <v/>
      </c>
    </row>
    <row r="26" spans="2:10" ht="12" customHeight="1" x14ac:dyDescent="0.45">
      <c r="B26" s="31"/>
      <c r="D26" s="41"/>
      <c r="G26" s="87" t="str">
        <f>入力フォーム!B175&amp;""</f>
        <v/>
      </c>
      <c r="H26" s="98" t="str">
        <f>IF(MOD(入力フォーム!B176,1)=0, TEXT(入力フォーム!B176&amp;"", "#,##0"), TEXT(入力フォーム!B176, "#,##0.00"))</f>
        <v/>
      </c>
      <c r="I26" s="104" t="str">
        <f>TEXT(入力フォーム!B177&amp;"","#,##0")</f>
        <v/>
      </c>
      <c r="J26" s="229" t="str">
        <f t="shared" si="2"/>
        <v/>
      </c>
    </row>
    <row r="27" spans="2:10" ht="12" customHeight="1" x14ac:dyDescent="0.45">
      <c r="B27" s="31"/>
      <c r="D27" s="41"/>
      <c r="G27" s="87" t="str">
        <f>入力フォーム!B178&amp;""</f>
        <v/>
      </c>
      <c r="H27" s="98" t="str">
        <f>IF(MOD(入力フォーム!B179,1)=0, TEXT(入力フォーム!B179&amp;"", "#,##0"), TEXT(入力フォーム!B179, "#,##0.00"))</f>
        <v/>
      </c>
      <c r="I27" s="104" t="str">
        <f>TEXT(入力フォーム!B180&amp;"","#,##0")</f>
        <v/>
      </c>
      <c r="J27" s="229" t="str">
        <f t="shared" si="2"/>
        <v/>
      </c>
    </row>
    <row r="28" spans="2:10" ht="12" customHeight="1" x14ac:dyDescent="0.45">
      <c r="B28" s="31"/>
      <c r="D28" s="41"/>
      <c r="G28" s="87" t="str">
        <f>入力フォーム!B181&amp;""</f>
        <v/>
      </c>
      <c r="H28" s="98" t="str">
        <f>IF(MOD(入力フォーム!B182,1)=0, TEXT(入力フォーム!B182&amp;"", "#,##0"), TEXT(入力フォーム!B182, "#,##0.00"))</f>
        <v/>
      </c>
      <c r="I28" s="104" t="str">
        <f>TEXT(入力フォーム!B183&amp;"","#,##0")</f>
        <v/>
      </c>
      <c r="J28" s="229" t="str">
        <f t="shared" si="2"/>
        <v/>
      </c>
    </row>
    <row r="29" spans="2:10" ht="12" customHeight="1" x14ac:dyDescent="0.45">
      <c r="B29" s="31"/>
      <c r="D29" s="41"/>
      <c r="G29" s="87" t="str">
        <f>入力フォーム!B184&amp;""</f>
        <v/>
      </c>
      <c r="H29" s="98" t="str">
        <f>IF(MOD(入力フォーム!B185,1)=0, TEXT(入力フォーム!B185&amp;"", "#,##0"), TEXT(入力フォーム!B185, "#,##0.00"))</f>
        <v/>
      </c>
      <c r="I29" s="104" t="str">
        <f>TEXT(入力フォーム!B186&amp;"","#,##0")</f>
        <v/>
      </c>
      <c r="J29" s="229" t="str">
        <f t="shared" si="2"/>
        <v/>
      </c>
    </row>
    <row r="30" spans="2:10" ht="12" customHeight="1" x14ac:dyDescent="0.45">
      <c r="B30" s="31"/>
      <c r="D30" s="41"/>
      <c r="G30" s="87" t="str">
        <f>入力フォーム!B187&amp;""</f>
        <v/>
      </c>
      <c r="H30" s="98" t="str">
        <f>IF(MOD(入力フォーム!B188,1)=0, TEXT(入力フォーム!B188&amp;"", "#,##0"), TEXT(入力フォーム!B188, "#,##0.00"))</f>
        <v/>
      </c>
      <c r="I30" s="104" t="str">
        <f>TEXT(入力フォーム!B189&amp;"","#,##0")</f>
        <v/>
      </c>
      <c r="J30" s="229" t="str">
        <f t="shared" si="2"/>
        <v/>
      </c>
    </row>
    <row r="31" spans="2:10" ht="12" customHeight="1" x14ac:dyDescent="0.45">
      <c r="B31" s="31"/>
      <c r="D31" s="41"/>
      <c r="G31" s="87" t="str">
        <f>入力フォーム!B190&amp;""</f>
        <v/>
      </c>
      <c r="H31" s="98" t="str">
        <f>IF(MOD(入力フォーム!B191,1)=0, TEXT(入力フォーム!B191&amp;"", "#,##0"), TEXT(入力フォーム!B191, "#,##0.00"))</f>
        <v/>
      </c>
      <c r="I31" s="104" t="str">
        <f>TEXT(入力フォーム!B192&amp;"","#,##0")</f>
        <v/>
      </c>
      <c r="J31" s="229" t="str">
        <f t="shared" si="2"/>
        <v/>
      </c>
    </row>
    <row r="32" spans="2:10" ht="12" customHeight="1" x14ac:dyDescent="0.45">
      <c r="B32" s="31"/>
      <c r="D32" s="41"/>
      <c r="G32" s="87" t="str">
        <f>入力フォーム!B193&amp;""</f>
        <v/>
      </c>
      <c r="H32" s="98" t="str">
        <f>IF(MOD(入力フォーム!B194,1)=0, TEXT(入力フォーム!B194&amp;"", "#,##0"), TEXT(入力フォーム!B194, "#,##0.00"))</f>
        <v/>
      </c>
      <c r="I32" s="104" t="str">
        <f>TEXT(入力フォーム!B195&amp;"","#,##0")</f>
        <v/>
      </c>
      <c r="J32" s="229" t="str">
        <f t="shared" si="2"/>
        <v/>
      </c>
    </row>
    <row r="33" spans="2:10" ht="12" customHeight="1" x14ac:dyDescent="0.45">
      <c r="B33" s="31"/>
      <c r="D33" s="41"/>
      <c r="G33" s="87" t="str">
        <f>入力フォーム!B196&amp;""</f>
        <v/>
      </c>
      <c r="H33" s="98" t="str">
        <f>IF(MOD(入力フォーム!B197,1)=0, TEXT(入力フォーム!B197&amp;"", "#,##0"), TEXT(入力フォーム!B197, "#,##0.00"))</f>
        <v/>
      </c>
      <c r="I33" s="104" t="str">
        <f>TEXT(入力フォーム!B198&amp;"","#,##0")</f>
        <v/>
      </c>
      <c r="J33" s="229" t="str">
        <f t="shared" si="2"/>
        <v/>
      </c>
    </row>
    <row r="34" spans="2:10" ht="12" customHeight="1" x14ac:dyDescent="0.45">
      <c r="B34" s="31"/>
      <c r="D34" s="41"/>
      <c r="G34" s="87" t="str">
        <f>入力フォーム!B199&amp;""</f>
        <v/>
      </c>
      <c r="H34" s="98" t="str">
        <f>IF(MOD(入力フォーム!B200,1)=0, TEXT(入力フォーム!B200&amp;"", "#,##0"), TEXT(入力フォーム!B200, "#,##0.00"))</f>
        <v/>
      </c>
      <c r="I34" s="104" t="str">
        <f>TEXT(入力フォーム!B201&amp;"","#,##0")</f>
        <v/>
      </c>
      <c r="J34" s="229" t="str">
        <f t="shared" si="2"/>
        <v/>
      </c>
    </row>
    <row r="35" spans="2:10" ht="12" customHeight="1" x14ac:dyDescent="0.45">
      <c r="B35" s="31"/>
      <c r="D35" s="41"/>
      <c r="G35" s="87" t="str">
        <f>入力フォーム!B202&amp;""</f>
        <v/>
      </c>
      <c r="H35" s="98" t="str">
        <f>IF(MOD(入力フォーム!B203,1)=0, TEXT(入力フォーム!B203&amp;"", "#,##0"), TEXT(入力フォーム!B203, "#,##0.00"))</f>
        <v/>
      </c>
      <c r="I35" s="104" t="str">
        <f>TEXT(入力フォーム!B204&amp;"","#,##0")</f>
        <v/>
      </c>
      <c r="J35" s="229" t="str">
        <f t="shared" si="2"/>
        <v/>
      </c>
    </row>
    <row r="36" spans="2:10" ht="12" customHeight="1" x14ac:dyDescent="0.45">
      <c r="B36" s="31"/>
      <c r="D36" s="41"/>
      <c r="G36" s="87" t="str">
        <f>入力フォーム!B205&amp;""</f>
        <v/>
      </c>
      <c r="H36" s="98" t="str">
        <f>IF(MOD(入力フォーム!B206,1)=0, TEXT(入力フォーム!B206&amp;"", "#,##0"), TEXT(入力フォーム!B206, "#,##0.00"))</f>
        <v/>
      </c>
      <c r="I36" s="104" t="str">
        <f>TEXT(入力フォーム!B207&amp;"","#,##0")</f>
        <v/>
      </c>
      <c r="J36" s="229" t="str">
        <f t="shared" si="2"/>
        <v/>
      </c>
    </row>
    <row r="37" spans="2:10" ht="12" customHeight="1" x14ac:dyDescent="0.45">
      <c r="B37" s="31"/>
      <c r="D37" s="41"/>
      <c r="E37" s="54"/>
      <c r="F37" s="54"/>
      <c r="G37" s="90" t="str">
        <f>入力フォーム!B208&amp;""</f>
        <v/>
      </c>
      <c r="H37" s="99" t="str">
        <f>IF(MOD(入力フォーム!B209,1)=0, TEXT(入力フォーム!B209&amp;"", "#,##0"), TEXT(入力フォーム!B209, "#,##0.00"))</f>
        <v/>
      </c>
      <c r="I37" s="105" t="str">
        <f>TEXT(入力フォーム!B210&amp;"","#,##0")</f>
        <v/>
      </c>
      <c r="J37" s="228" t="str">
        <f t="shared" si="2"/>
        <v/>
      </c>
    </row>
    <row r="38" spans="2:10" ht="12" customHeight="1" x14ac:dyDescent="0.45">
      <c r="B38" s="31"/>
      <c r="D38" s="40" t="s">
        <v>61</v>
      </c>
      <c r="E38" s="439" t="s">
        <v>64</v>
      </c>
      <c r="F38" s="440"/>
      <c r="G38" s="87" t="str">
        <f>入力フォーム!B212&amp;""</f>
        <v/>
      </c>
      <c r="H38" s="100" t="str">
        <f>IF(MOD(入力フォーム!B213,1)=0, TEXT(入力フォーム!B213&amp;"", "#,##0"), TEXT(入力フォーム!B213&amp;"", "#,##0.00"))</f>
        <v/>
      </c>
      <c r="I38" s="104" t="str">
        <f>TEXT(入力フォーム!B214&amp;"","#,##0")</f>
        <v/>
      </c>
      <c r="J38" s="229" t="str">
        <f t="shared" si="2"/>
        <v/>
      </c>
    </row>
    <row r="39" spans="2:10" ht="12" customHeight="1" x14ac:dyDescent="0.45">
      <c r="B39" s="31"/>
      <c r="D39" s="41"/>
      <c r="G39" s="87" t="str">
        <f>入力フォーム!B215&amp;""</f>
        <v/>
      </c>
      <c r="H39" s="98" t="str">
        <f>IF(MOD(入力フォーム!B216,1)=0, TEXT(入力フォーム!B216&amp;"", "#,##0"), TEXT(入力フォーム!B216, "#,##0.00"))</f>
        <v/>
      </c>
      <c r="I39" s="104" t="str">
        <f>TEXT(入力フォーム!B217&amp;"","#,##0")</f>
        <v/>
      </c>
      <c r="J39" s="229" t="str">
        <f t="shared" si="2"/>
        <v/>
      </c>
    </row>
    <row r="40" spans="2:10" ht="12" customHeight="1" x14ac:dyDescent="0.45">
      <c r="B40" s="31"/>
      <c r="D40" s="41"/>
      <c r="G40" s="87" t="str">
        <f>入力フォーム!B218&amp;""</f>
        <v/>
      </c>
      <c r="H40" s="98" t="str">
        <f>IF(MOD(入力フォーム!B219,1)=0, TEXT(入力フォーム!B219&amp;"", "#,##0"), TEXT(入力フォーム!B219, "#,##0.00"))</f>
        <v/>
      </c>
      <c r="I40" s="104" t="str">
        <f>TEXT(入力フォーム!B220&amp;"","#,##0")</f>
        <v/>
      </c>
      <c r="J40" s="229" t="str">
        <f t="shared" si="2"/>
        <v/>
      </c>
    </row>
    <row r="41" spans="2:10" ht="12" customHeight="1" x14ac:dyDescent="0.45">
      <c r="B41" s="31"/>
      <c r="D41" s="41"/>
      <c r="G41" s="87" t="str">
        <f>入力フォーム!B221&amp;""</f>
        <v/>
      </c>
      <c r="H41" s="98" t="str">
        <f>IF(MOD(入力フォーム!B222,1)=0, TEXT(入力フォーム!B222&amp;"", "#,##0"), TEXT(入力フォーム!B222, "#,##0.00"))</f>
        <v/>
      </c>
      <c r="I41" s="104" t="str">
        <f>TEXT(入力フォーム!B223&amp;"","#,##0")</f>
        <v/>
      </c>
      <c r="J41" s="229" t="str">
        <f t="shared" si="2"/>
        <v/>
      </c>
    </row>
    <row r="42" spans="2:10" ht="12" customHeight="1" x14ac:dyDescent="0.45">
      <c r="B42" s="31"/>
      <c r="D42" s="40" t="s">
        <v>63</v>
      </c>
      <c r="E42" s="439" t="s">
        <v>66</v>
      </c>
      <c r="F42" s="440"/>
      <c r="G42" s="89" t="str">
        <f>入力フォーム!B225&amp;""</f>
        <v/>
      </c>
      <c r="H42" s="97" t="str">
        <f>IF(MOD(入力フォーム!B226,1)=0, TEXT(入力フォーム!B226&amp;"", "#,##0"), TEXT(入力フォーム!B226, "#,##0.00"))</f>
        <v/>
      </c>
      <c r="I42" s="103" t="str">
        <f>TEXT(入力フォーム!B227&amp;"","#,##0")</f>
        <v/>
      </c>
      <c r="J42" s="227" t="str">
        <f t="shared" si="2"/>
        <v/>
      </c>
    </row>
    <row r="43" spans="2:10" ht="12" customHeight="1" x14ac:dyDescent="0.45">
      <c r="B43" s="31"/>
      <c r="D43" s="41"/>
      <c r="G43" s="87" t="str">
        <f>入力フォーム!B228&amp;""</f>
        <v/>
      </c>
      <c r="H43" s="98" t="str">
        <f>IF(MOD(入力フォーム!B229,1)=0, TEXT(入力フォーム!B229&amp;"", "#,##0"), TEXT(入力フォーム!B229, "#,##0.00"))</f>
        <v/>
      </c>
      <c r="I43" s="104" t="str">
        <f>TEXT(入力フォーム!B230&amp;"","#,##0")</f>
        <v/>
      </c>
      <c r="J43" s="229" t="str">
        <f t="shared" si="2"/>
        <v/>
      </c>
    </row>
    <row r="44" spans="2:10" ht="12" customHeight="1" x14ac:dyDescent="0.45">
      <c r="B44" s="31"/>
      <c r="D44" s="41"/>
      <c r="G44" s="87" t="str">
        <f>入力フォーム!B231&amp;""</f>
        <v/>
      </c>
      <c r="H44" s="98" t="str">
        <f>IF(MOD(入力フォーム!B232,1)=0, TEXT(入力フォーム!B232&amp;"", "#,##0"), TEXT(入力フォーム!B232, "#,##0.00"))</f>
        <v/>
      </c>
      <c r="I44" s="104" t="str">
        <f>TEXT(入力フォーム!B233&amp;"","#,##0")</f>
        <v/>
      </c>
      <c r="J44" s="229" t="str">
        <f t="shared" si="2"/>
        <v/>
      </c>
    </row>
    <row r="45" spans="2:10" ht="12" customHeight="1" x14ac:dyDescent="0.45">
      <c r="B45" s="31"/>
      <c r="D45" s="41"/>
      <c r="E45" s="54"/>
      <c r="F45" s="54"/>
      <c r="G45" s="90" t="str">
        <f>入力フォーム!B234&amp;""</f>
        <v/>
      </c>
      <c r="H45" s="99" t="str">
        <f>IF(MOD(入力フォーム!B235,1)=0, TEXT(入力フォーム!B235&amp;"", "#,##0"), TEXT(入力フォーム!B235, "#,##0.00"))</f>
        <v/>
      </c>
      <c r="I45" s="105" t="str">
        <f>TEXT(入力フォーム!B236&amp;"","#,##0")</f>
        <v/>
      </c>
      <c r="J45" s="228" t="str">
        <f t="shared" si="2"/>
        <v/>
      </c>
    </row>
    <row r="46" spans="2:10" ht="12" customHeight="1" x14ac:dyDescent="0.45">
      <c r="B46" s="31"/>
      <c r="D46" s="40" t="s">
        <v>65</v>
      </c>
      <c r="E46" s="439" t="s">
        <v>67</v>
      </c>
      <c r="F46" s="440"/>
      <c r="G46" s="89" t="str">
        <f>入力フォーム!B238&amp;""</f>
        <v/>
      </c>
      <c r="H46" s="97" t="str">
        <f>IF(MOD(入力フォーム!B239,1)=0, TEXT(入力フォーム!B239&amp;"", "#,##0"), TEXT(入力フォーム!B239, "#,##0.00"))</f>
        <v/>
      </c>
      <c r="I46" s="103" t="str">
        <f>TEXT(入力フォーム!B240&amp;"","#,##0")</f>
        <v/>
      </c>
      <c r="J46" s="227" t="str">
        <f t="shared" si="2"/>
        <v/>
      </c>
    </row>
    <row r="47" spans="2:10" ht="12" customHeight="1" x14ac:dyDescent="0.45">
      <c r="B47" s="31"/>
      <c r="D47" s="41"/>
      <c r="E47" s="432" t="s">
        <v>68</v>
      </c>
      <c r="F47" s="433"/>
      <c r="G47" s="87" t="str">
        <f>入力フォーム!B241&amp;""</f>
        <v/>
      </c>
      <c r="H47" s="98" t="str">
        <f>IF(MOD(入力フォーム!B242,1)=0, TEXT(入力フォーム!B242&amp;"", "#,##0"), TEXT(入力フォーム!B242, "#,##0.00"))</f>
        <v/>
      </c>
      <c r="I47" s="104" t="str">
        <f>TEXT(入力フォーム!B243&amp;"","#,##0")</f>
        <v/>
      </c>
      <c r="J47" s="229" t="str">
        <f t="shared" si="2"/>
        <v/>
      </c>
    </row>
    <row r="48" spans="2:10" ht="12" customHeight="1" x14ac:dyDescent="0.45">
      <c r="B48" s="31"/>
      <c r="D48" s="41"/>
      <c r="G48" s="87" t="str">
        <f>入力フォーム!B244&amp;""</f>
        <v/>
      </c>
      <c r="H48" s="98" t="str">
        <f>IF(MOD(入力フォーム!B245,1)=0, TEXT(入力フォーム!B245&amp;"", "#,##0"), TEXT(入力フォーム!B245, "#,##0.00"))</f>
        <v/>
      </c>
      <c r="I48" s="104" t="str">
        <f>TEXT(入力フォーム!B246&amp;"","#,##0")</f>
        <v/>
      </c>
      <c r="J48" s="229" t="str">
        <f t="shared" si="2"/>
        <v/>
      </c>
    </row>
    <row r="49" spans="2:10" ht="12" customHeight="1" x14ac:dyDescent="0.45">
      <c r="B49" s="31"/>
      <c r="D49" s="41"/>
      <c r="E49" s="54"/>
      <c r="F49" s="54"/>
      <c r="G49" s="90" t="str">
        <f>入力フォーム!B247&amp;""</f>
        <v/>
      </c>
      <c r="H49" s="99" t="str">
        <f>IF(MOD(入力フォーム!B248,1)=0, TEXT(入力フォーム!B248&amp;"", "#,##0"), TEXT(入力フォーム!B248, "#,##0.00"))</f>
        <v/>
      </c>
      <c r="I49" s="105" t="str">
        <f>TEXT(入力フォーム!B249&amp;"","#,##0")</f>
        <v/>
      </c>
      <c r="J49" s="228" t="str">
        <f t="shared" si="2"/>
        <v/>
      </c>
    </row>
    <row r="50" spans="2:10" ht="12" customHeight="1" x14ac:dyDescent="0.45">
      <c r="B50" s="31"/>
      <c r="C50" s="39"/>
      <c r="D50" s="40"/>
      <c r="E50" s="42"/>
      <c r="F50" s="19"/>
      <c r="G50" s="101"/>
      <c r="H50" s="102"/>
      <c r="I50" s="21" t="s">
        <v>69</v>
      </c>
      <c r="J50" s="232" t="str">
        <f>IFERROR(IF(SUM(J17:J49)&lt;&gt;0,SUM(J17:J49),""),"")</f>
        <v/>
      </c>
    </row>
    <row r="51" spans="2:10" ht="12" customHeight="1" x14ac:dyDescent="0.45">
      <c r="B51" s="31"/>
      <c r="C51" s="439" t="s">
        <v>70</v>
      </c>
      <c r="D51" s="439"/>
      <c r="E51" s="439"/>
      <c r="F51" s="440"/>
      <c r="G51" s="87" t="str">
        <f>入力フォーム!B251&amp;""</f>
        <v/>
      </c>
      <c r="H51" s="103" t="str">
        <f>IF(MOD(入力フォーム!B252,1)=0, TEXT(入力フォーム!B252&amp;"", "#,##0"), TEXT(入力フォーム!B252, "#,##0.00"))</f>
        <v/>
      </c>
      <c r="I51" s="103" t="str">
        <f>TEXT(入力フォーム!B253&amp;"","#,##0")</f>
        <v/>
      </c>
      <c r="J51" s="229" t="str">
        <f t="shared" ref="J51:J54" si="3">IFERROR(H51*IF(I51="一式", 1, I51),"")</f>
        <v/>
      </c>
    </row>
    <row r="52" spans="2:10" ht="12" customHeight="1" x14ac:dyDescent="0.45">
      <c r="B52" s="31"/>
      <c r="C52" s="154"/>
      <c r="D52" s="432" t="s">
        <v>71</v>
      </c>
      <c r="E52" s="432"/>
      <c r="F52" s="433"/>
      <c r="G52" s="28" t="str">
        <f>入力フォーム!B254&amp;""</f>
        <v/>
      </c>
      <c r="H52" s="104" t="str">
        <f>IF(MOD(入力フォーム!B255,1)=0, TEXT(入力フォーム!B255&amp;"", "#,##0"), TEXT(入力フォーム!B255, "#,##0.00"))</f>
        <v/>
      </c>
      <c r="I52" s="104" t="str">
        <f>TEXT(入力フォーム!B256&amp;"","#,##0")</f>
        <v/>
      </c>
      <c r="J52" s="229" t="str">
        <f t="shared" si="3"/>
        <v/>
      </c>
    </row>
    <row r="53" spans="2:10" ht="12" customHeight="1" x14ac:dyDescent="0.45">
      <c r="B53" s="31"/>
      <c r="G53" s="87" t="str">
        <f>入力フォーム!B257&amp;""</f>
        <v/>
      </c>
      <c r="H53" s="104" t="str">
        <f>IF(MOD(入力フォーム!B258,1)=0, TEXT(入力フォーム!B258&amp;"", "#,##0"), TEXT(入力フォーム!B258, "#,##0.00"))</f>
        <v/>
      </c>
      <c r="I53" s="104" t="str">
        <f>TEXT(入力フォーム!B259&amp;"","#,##0")</f>
        <v/>
      </c>
      <c r="J53" s="229" t="str">
        <f t="shared" si="3"/>
        <v/>
      </c>
    </row>
    <row r="54" spans="2:10" ht="12" customHeight="1" x14ac:dyDescent="0.45">
      <c r="B54" s="31"/>
      <c r="F54" s="18"/>
      <c r="G54" s="63" t="str">
        <f>入力フォーム!B260&amp;""</f>
        <v/>
      </c>
      <c r="H54" s="64" t="str">
        <f>IF(MOD(入力フォーム!B261,1)=0, TEXT(入力フォーム!B261&amp;"", "#,##0"), TEXT(入力フォーム!B261, "#,##0.00"))</f>
        <v/>
      </c>
      <c r="I54" s="64" t="str">
        <f>TEXT(入力フォーム!B262&amp;"","#,##0")</f>
        <v/>
      </c>
      <c r="J54" s="228" t="str">
        <f t="shared" si="3"/>
        <v/>
      </c>
    </row>
    <row r="55" spans="2:10" ht="12" customHeight="1" x14ac:dyDescent="0.45">
      <c r="B55" s="31"/>
      <c r="C55" s="39"/>
      <c r="D55" s="39"/>
      <c r="E55" s="42"/>
      <c r="F55" s="22"/>
      <c r="G55" s="23"/>
      <c r="H55" s="20"/>
      <c r="I55" s="21" t="s">
        <v>72</v>
      </c>
      <c r="J55" s="232" t="str">
        <f>IF(入力フォーム!B250="いいえ",0,IF(入力フォーム!B250="はい",SUM(J51:J54),""))</f>
        <v/>
      </c>
    </row>
    <row r="56" spans="2:10" ht="5.4" customHeight="1" x14ac:dyDescent="0.45">
      <c r="B56" s="31"/>
      <c r="C56" s="39"/>
      <c r="D56" s="39"/>
      <c r="F56" s="24"/>
      <c r="G56" s="25"/>
      <c r="H56" s="26"/>
      <c r="I56" s="27"/>
      <c r="J56" s="229"/>
    </row>
    <row r="57" spans="2:10" ht="12" customHeight="1" x14ac:dyDescent="0.45">
      <c r="B57" s="31"/>
      <c r="C57" s="43" t="s">
        <v>73</v>
      </c>
      <c r="D57" s="43"/>
      <c r="E57" s="43"/>
      <c r="F57" s="43"/>
      <c r="G57" s="44"/>
      <c r="H57" s="45"/>
      <c r="I57" s="46" t="s">
        <v>74</v>
      </c>
      <c r="J57" s="233" t="str">
        <f>IF(SUM(J50,J55)&lt;&gt;0,SUM(J50,J55),"")</f>
        <v/>
      </c>
    </row>
    <row r="58" spans="2:10" ht="5.4" customHeight="1" x14ac:dyDescent="0.45">
      <c r="B58" s="31"/>
      <c r="G58" s="154"/>
      <c r="H58" s="47"/>
      <c r="I58" s="48"/>
      <c r="J58" s="229"/>
    </row>
    <row r="59" spans="2:10" ht="12" customHeight="1" x14ac:dyDescent="0.45">
      <c r="B59" s="31"/>
      <c r="C59" s="43" t="s">
        <v>75</v>
      </c>
      <c r="D59" s="43"/>
      <c r="E59" s="43"/>
      <c r="F59" s="43"/>
      <c r="G59" s="44"/>
      <c r="H59" s="45"/>
      <c r="I59" s="46"/>
      <c r="J59" s="233" t="str">
        <f>IFERROR(IF(J57="", "", J12-J57),"")</f>
        <v/>
      </c>
    </row>
    <row r="60" spans="2:10" ht="5.4" customHeight="1" thickBot="1" x14ac:dyDescent="0.5">
      <c r="B60" s="49"/>
      <c r="C60" s="50"/>
      <c r="D60" s="50"/>
      <c r="E60" s="50"/>
      <c r="F60" s="50"/>
      <c r="G60" s="50"/>
      <c r="H60" s="50"/>
      <c r="I60" s="50"/>
      <c r="J60" s="234"/>
    </row>
    <row r="61" spans="2:10" ht="12.6" customHeight="1" x14ac:dyDescent="0.45">
      <c r="C61" s="28" t="s">
        <v>211</v>
      </c>
    </row>
    <row r="62" spans="2:10" x14ac:dyDescent="0.45">
      <c r="C62" s="28" t="s">
        <v>299</v>
      </c>
    </row>
    <row r="63" spans="2:10" x14ac:dyDescent="0.45">
      <c r="C63" s="28" t="s">
        <v>300</v>
      </c>
    </row>
    <row r="64" spans="2:10" x14ac:dyDescent="0.45">
      <c r="C64" s="28" t="s">
        <v>301</v>
      </c>
    </row>
  </sheetData>
  <mergeCells count="24">
    <mergeCell ref="B5:F5"/>
    <mergeCell ref="G5:I5"/>
    <mergeCell ref="D10:F10"/>
    <mergeCell ref="G10:I10"/>
    <mergeCell ref="C51:F51"/>
    <mergeCell ref="G8:I8"/>
    <mergeCell ref="D9:F9"/>
    <mergeCell ref="G9:I9"/>
    <mergeCell ref="D52:F52"/>
    <mergeCell ref="B3:F3"/>
    <mergeCell ref="I3:J3"/>
    <mergeCell ref="E21:F21"/>
    <mergeCell ref="E38:F38"/>
    <mergeCell ref="E42:F42"/>
    <mergeCell ref="E46:F46"/>
    <mergeCell ref="E47:F47"/>
    <mergeCell ref="G11:I11"/>
    <mergeCell ref="G12:I12"/>
    <mergeCell ref="B13:F13"/>
    <mergeCell ref="C16:F16"/>
    <mergeCell ref="E17:F17"/>
    <mergeCell ref="G6:I6"/>
    <mergeCell ref="G7:I7"/>
    <mergeCell ref="D8:F8"/>
  </mergeCells>
  <phoneticPr fontId="1"/>
  <conditionalFormatting sqref="H38">
    <cfRule type="expression" dxfId="70" priority="2">
      <formula>INDIRECT(ADDRESS(ROW(),COLUMN()))=TRUNC(INDIRECT(ADDRESS(ROW(),COLUMN())))</formula>
    </cfRule>
  </conditionalFormatting>
  <conditionalFormatting sqref="I39">
    <cfRule type="expression" dxfId="69" priority="1">
      <formula>INDIRECT(ADDRESS(ROW(),COLUMN()))=TRUNC(INDIRECT(ADDRESS(ROW(),COLUMN())))</formula>
    </cfRule>
  </conditionalFormatting>
  <dataValidations count="1">
    <dataValidation imeMode="off" allowBlank="1" showInputMessage="1" showErrorMessage="1" sqref="J51:J53 J57:J59 J14:J49" xr:uid="{00000000-0002-0000-0300-000000000000}"/>
  </dataValidations>
  <pageMargins left="0.59055118110236227" right="0.31496062992125984" top="0.23622047244094491" bottom="0.19685039370078741" header="0.11811023622047245" footer="0.11811023622047245"/>
  <pageSetup paperSize="9" scale="93"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216"/>
  <sheetViews>
    <sheetView zoomScale="85" zoomScaleNormal="85" workbookViewId="0">
      <selection activeCell="B18" sqref="B18"/>
    </sheetView>
  </sheetViews>
  <sheetFormatPr defaultRowHeight="18" outlineLevelCol="1" x14ac:dyDescent="0.45"/>
  <cols>
    <col min="1" max="1" width="50" customWidth="1"/>
    <col min="2" max="2" width="52.8984375" customWidth="1"/>
    <col min="3" max="3" width="123.3984375" bestFit="1" customWidth="1"/>
    <col min="4" max="4" width="0" hidden="1" customWidth="1" outlineLevel="1"/>
    <col min="5" max="5" width="53.3984375" hidden="1" customWidth="1" outlineLevel="1"/>
    <col min="6" max="7" width="29.796875" hidden="1" customWidth="1" outlineLevel="1"/>
    <col min="8" max="8" width="53.3984375" hidden="1" customWidth="1" outlineLevel="1"/>
    <col min="9" max="10" width="29.796875" hidden="1" customWidth="1" outlineLevel="1"/>
    <col min="11" max="11" width="8.796875" collapsed="1"/>
  </cols>
  <sheetData>
    <row r="2" spans="1:10" x14ac:dyDescent="0.45">
      <c r="A2" s="117" t="s">
        <v>138</v>
      </c>
      <c r="B2" s="575" t="str">
        <f>入力フォーム!B2&amp;""</f>
        <v/>
      </c>
      <c r="C2" t="s">
        <v>337</v>
      </c>
    </row>
    <row r="3" spans="1:10" x14ac:dyDescent="0.45">
      <c r="A3" s="117" t="s">
        <v>139</v>
      </c>
      <c r="B3" s="575" t="str">
        <f>入力フォーム!B3&amp;""</f>
        <v>単一</v>
      </c>
      <c r="F3" s="55">
        <v>200000</v>
      </c>
      <c r="G3" s="55">
        <v>300000</v>
      </c>
      <c r="H3" s="55">
        <v>500000</v>
      </c>
      <c r="I3" s="55">
        <v>1000000</v>
      </c>
      <c r="J3" s="55">
        <v>2000000</v>
      </c>
    </row>
    <row r="4" spans="1:10" x14ac:dyDescent="0.45">
      <c r="A4" s="117" t="s">
        <v>157</v>
      </c>
      <c r="B4" s="576" t="str">
        <f>TEXT(入力フォーム!B4&amp;"","〒000-0000")</f>
        <v/>
      </c>
      <c r="C4" t="s">
        <v>337</v>
      </c>
      <c r="F4" s="55"/>
      <c r="G4" s="55"/>
      <c r="H4" s="55"/>
      <c r="I4" s="55"/>
      <c r="J4" s="55"/>
    </row>
    <row r="5" spans="1:10" x14ac:dyDescent="0.45">
      <c r="A5" s="117" t="s">
        <v>158</v>
      </c>
      <c r="B5" s="575" t="str">
        <f>入力フォーム!B5&amp;""</f>
        <v/>
      </c>
      <c r="C5" t="s">
        <v>337</v>
      </c>
    </row>
    <row r="6" spans="1:10" x14ac:dyDescent="0.45">
      <c r="A6" s="117" t="s">
        <v>140</v>
      </c>
      <c r="B6" s="575" t="str">
        <f>入力フォーム!B6&amp;""</f>
        <v/>
      </c>
      <c r="C6" t="s">
        <v>337</v>
      </c>
    </row>
    <row r="7" spans="1:10" x14ac:dyDescent="0.45">
      <c r="A7" s="117" t="s">
        <v>141</v>
      </c>
      <c r="B7" s="575" t="str">
        <f>入力フォーム!B7&amp;""</f>
        <v/>
      </c>
      <c r="C7" t="s">
        <v>337</v>
      </c>
    </row>
    <row r="8" spans="1:10" x14ac:dyDescent="0.45">
      <c r="A8" s="117" t="s">
        <v>142</v>
      </c>
      <c r="B8" s="575" t="str">
        <f>入力フォーム!B8&amp;""</f>
        <v/>
      </c>
      <c r="C8" t="s">
        <v>337</v>
      </c>
    </row>
    <row r="9" spans="1:10" x14ac:dyDescent="0.45">
      <c r="A9" s="117" t="s">
        <v>143</v>
      </c>
      <c r="B9" s="575" t="str">
        <f>入力フォーム!B9&amp;""</f>
        <v/>
      </c>
      <c r="C9" t="s">
        <v>337</v>
      </c>
    </row>
    <row r="10" spans="1:10" x14ac:dyDescent="0.45">
      <c r="A10" s="117" t="s">
        <v>144</v>
      </c>
      <c r="B10" s="575" t="str">
        <f>入力フォーム!B10&amp;""</f>
        <v/>
      </c>
      <c r="C10" t="s">
        <v>337</v>
      </c>
    </row>
    <row r="11" spans="1:10" x14ac:dyDescent="0.45">
      <c r="A11" s="117" t="s">
        <v>159</v>
      </c>
      <c r="B11" s="575" t="str">
        <f>TEXT(入力フォーム!B11&amp;"","〒000-0000")</f>
        <v/>
      </c>
      <c r="C11" t="s">
        <v>337</v>
      </c>
    </row>
    <row r="12" spans="1:10" x14ac:dyDescent="0.45">
      <c r="A12" s="117" t="s">
        <v>160</v>
      </c>
      <c r="B12" s="575" t="str">
        <f>入力フォーム!B12&amp;""</f>
        <v/>
      </c>
      <c r="C12" t="s">
        <v>337</v>
      </c>
    </row>
    <row r="13" spans="1:10" x14ac:dyDescent="0.45">
      <c r="A13" s="117" t="s">
        <v>213</v>
      </c>
      <c r="B13" s="575" t="str">
        <f>入力フォーム!B13&amp;""</f>
        <v/>
      </c>
      <c r="C13" t="s">
        <v>337</v>
      </c>
    </row>
    <row r="14" spans="1:10" x14ac:dyDescent="0.45">
      <c r="A14" s="117" t="s">
        <v>214</v>
      </c>
      <c r="B14" s="575" t="str">
        <f>入力フォーム!B14&amp;""</f>
        <v/>
      </c>
      <c r="C14" t="s">
        <v>337</v>
      </c>
    </row>
    <row r="15" spans="1:10" x14ac:dyDescent="0.45">
      <c r="A15" s="117" t="s">
        <v>145</v>
      </c>
      <c r="B15" s="575" t="str">
        <f>入力フォーム!B15&amp;""</f>
        <v/>
      </c>
      <c r="C15" t="s">
        <v>337</v>
      </c>
    </row>
    <row r="16" spans="1:10" x14ac:dyDescent="0.45">
      <c r="A16" s="117" t="s">
        <v>146</v>
      </c>
      <c r="B16" s="575" t="str">
        <f>入力フォーム!B16&amp;""</f>
        <v/>
      </c>
      <c r="C16" t="s">
        <v>337</v>
      </c>
    </row>
    <row r="17" spans="1:3" x14ac:dyDescent="0.45">
      <c r="A17" s="13" t="s">
        <v>163</v>
      </c>
      <c r="B17" s="568"/>
      <c r="C17" t="s">
        <v>223</v>
      </c>
    </row>
    <row r="18" spans="1:3" ht="35.4" customHeight="1" x14ac:dyDescent="0.45">
      <c r="A18" s="13" t="s">
        <v>152</v>
      </c>
      <c r="B18" s="562"/>
      <c r="C18" t="s">
        <v>28</v>
      </c>
    </row>
    <row r="19" spans="1:3" ht="73.8" customHeight="1" x14ac:dyDescent="0.45">
      <c r="A19" s="564" t="s">
        <v>395</v>
      </c>
      <c r="B19" s="570"/>
      <c r="C19" s="565">
        <f>LEN(B19)</f>
        <v>0</v>
      </c>
    </row>
    <row r="20" spans="1:3" ht="35.4" customHeight="1" x14ac:dyDescent="0.45">
      <c r="A20" s="13" t="s">
        <v>173</v>
      </c>
      <c r="B20" s="562"/>
      <c r="C20" t="s">
        <v>28</v>
      </c>
    </row>
    <row r="21" spans="1:3" ht="35.4" customHeight="1" x14ac:dyDescent="0.45">
      <c r="A21" t="s">
        <v>175</v>
      </c>
      <c r="B21" s="573"/>
      <c r="C21" t="s">
        <v>28</v>
      </c>
    </row>
    <row r="22" spans="1:3" ht="35.4" customHeight="1" x14ac:dyDescent="0.45">
      <c r="A22" s="114" t="str">
        <f>IF(B21="はい",IF(入力フォーム!B147="","↓", "収支予算書に計上された「"&amp;入力フォーム!B147&amp;"」の支出はありますか"),IF(B21="いいえ","↓","↓"))</f>
        <v>↓</v>
      </c>
      <c r="B22" s="574"/>
      <c r="C22" t="s">
        <v>28</v>
      </c>
    </row>
    <row r="23" spans="1:3" ht="35.4" customHeight="1" x14ac:dyDescent="0.45">
      <c r="A23" s="114" t="str">
        <f>IF(B21="はい",IF(入力フォーム!B150="","↓", "収支予算書に計上された「"&amp;入力フォーム!B150&amp;"」の支出はありますか"),IF(B21="いいえ","↓","↓"))</f>
        <v>↓</v>
      </c>
      <c r="B23" s="574"/>
      <c r="C23" t="s">
        <v>28</v>
      </c>
    </row>
    <row r="24" spans="1:3" ht="35.4" customHeight="1" x14ac:dyDescent="0.45">
      <c r="A24" s="114" t="str">
        <f>IF(B21="はい",IF(入力フォーム!B153="","↓", "収支予算書に計上された「"&amp;入力フォーム!B153&amp;"」の支出はありますか"),IF(B21="いいえ","↓","↓"))</f>
        <v>↓</v>
      </c>
      <c r="B24" s="574"/>
      <c r="C24" t="s">
        <v>28</v>
      </c>
    </row>
    <row r="25" spans="1:3" ht="35.4" customHeight="1" x14ac:dyDescent="0.45">
      <c r="A25" s="114" t="str">
        <f>IF(B21="はい",IF(入力フォーム!B156="","↓", "収支予算書に計上された「"&amp;入力フォーム!B156&amp;"」の支出はありますか"),IF(B21="いいえ","↓","↓"))</f>
        <v>↓</v>
      </c>
      <c r="B25" s="574"/>
      <c r="C25" t="s">
        <v>28</v>
      </c>
    </row>
    <row r="26" spans="1:3" ht="35.4" customHeight="1" x14ac:dyDescent="0.45">
      <c r="A26" t="str">
        <f>IF(B21="","↓",IF(B21="いいえ","↓（謝礼金１の支出内容）",IF(B22="","↓（謝礼金１の支出内容）",IF(B22="はい","謝礼金１の支出内容","↓（謝礼金１の支出内容）"))))</f>
        <v>↓</v>
      </c>
      <c r="B26" s="574" t="str">
        <f>IF(B22="はい", 収支予算書!G17,"")</f>
        <v/>
      </c>
      <c r="C26" t="s">
        <v>335</v>
      </c>
    </row>
    <row r="27" spans="1:3" ht="35.4" customHeight="1" x14ac:dyDescent="0.45">
      <c r="A27" t="str">
        <f>IF(B21="","↓",IF(B21="いいえ","↓（謝礼金１の単価（税込））",IF(B22="","↓（謝礼金１の単価（税込））",IF(B22="はい","謝礼金１の単価（税込）","↓（謝礼金１の単価（税込））"))))</f>
        <v>↓</v>
      </c>
      <c r="B27" s="574" t="str">
        <f>IF(B22="はい", 収支予算書!H17,"")</f>
        <v/>
      </c>
      <c r="C27" t="s">
        <v>335</v>
      </c>
    </row>
    <row r="28" spans="1:3" ht="35.4" customHeight="1" x14ac:dyDescent="0.45">
      <c r="A28" t="str">
        <f>IF(B21="","↓",IF(B21="いいえ","↓（謝礼金１の数量）",IF(B22="","↓（謝礼金１の数量）",IF(B22="はい","謝礼金１の数量","↓（謝礼金１の数量）"))))</f>
        <v>↓</v>
      </c>
      <c r="B28" s="574" t="str">
        <f>IF(B22="はい", 収支予算書!I17,"")</f>
        <v/>
      </c>
      <c r="C28" t="s">
        <v>336</v>
      </c>
    </row>
    <row r="29" spans="1:3" ht="35.4" customHeight="1" x14ac:dyDescent="0.45">
      <c r="A29" t="str">
        <f>IF(B21="","↓",IF(B21="いいえ","↓（謝礼金１の変更理由）",IF(B22="","↓（謝礼金１の変更理由）",IF(B22="はい","謝礼金１の変更理由","謝礼金１の変更理由"))))</f>
        <v>↓</v>
      </c>
      <c r="B29" s="574"/>
      <c r="C29" t="str">
        <f>IF(B22="いいえ","←"&amp;収支予算書!G17&amp;"の変更理由を記入してください","")</f>
        <v/>
      </c>
    </row>
    <row r="30" spans="1:3" ht="35.4" customHeight="1" x14ac:dyDescent="0.45">
      <c r="A30" t="str">
        <f>IF(B21="","↓",IF(B21="いいえ","↓（謝礼金２の支出内容）",IF(B23="","↓（謝礼金２の支出内容）",IF(B23="はい","謝礼金２の支出内容","↓（謝礼金２の支出内容）"))))</f>
        <v>↓</v>
      </c>
      <c r="B30" s="574" t="str">
        <f>IF(B23="はい", 収支予算書!G18,"")</f>
        <v/>
      </c>
      <c r="C30" t="s">
        <v>335</v>
      </c>
    </row>
    <row r="31" spans="1:3" ht="35.4" customHeight="1" x14ac:dyDescent="0.45">
      <c r="A31" t="str">
        <f>IF(B21="","↓",IF(B21="いいえ","↓（謝礼金２の単価（税込））",IF(B23="","↓（謝礼金２の単価（税込））",IF(B23="はい","謝礼金２の単価（税込）","↓（謝礼金２の単価（税込））"))))</f>
        <v>↓</v>
      </c>
      <c r="B31" s="574" t="str">
        <f>IF(B23="はい", 収支予算書!H18,"")</f>
        <v/>
      </c>
      <c r="C31" t="s">
        <v>335</v>
      </c>
    </row>
    <row r="32" spans="1:3" ht="35.4" customHeight="1" x14ac:dyDescent="0.45">
      <c r="A32" t="str">
        <f>IF(B21="","↓",IF(B21="いいえ","↓（謝礼金２の数量）",IF(B23="","↓（謝礼金２の数量）",IF(B23="はい","謝礼金２の数量","↓（謝礼金２の数量）"))))</f>
        <v>↓</v>
      </c>
      <c r="B32" s="574" t="str">
        <f>IF(B23="はい", 収支予算書!I18,"")</f>
        <v/>
      </c>
      <c r="C32" t="s">
        <v>336</v>
      </c>
    </row>
    <row r="33" spans="1:3" ht="35.4" customHeight="1" x14ac:dyDescent="0.45">
      <c r="A33" t="str">
        <f>IF(B21="","↓",IF(B21="いいえ","↓（謝礼金２の変更理由）",IF(B23="","↓（謝礼金２の変更理由）",IF(B23="はい","謝礼金２の変更理由","謝礼金２の変更理由"))))</f>
        <v>↓</v>
      </c>
      <c r="B33" s="574"/>
      <c r="C33" t="str">
        <f>IF(B23="いいえ","←"&amp;収支予算書!G18&amp;"の変更理由を記入してください","")</f>
        <v/>
      </c>
    </row>
    <row r="34" spans="1:3" ht="35.4" customHeight="1" x14ac:dyDescent="0.45">
      <c r="A34" t="str">
        <f>IF(B21="","↓",IF(B21="いいえ","↓（謝礼金３の支出内容）",IF(B24="","↓（謝礼金３の支出内容）",IF(B24="はい","謝礼金３の支出内容","↓（謝礼金３の支出内容）"))))</f>
        <v>↓</v>
      </c>
      <c r="B34" s="574" t="str">
        <f>IF(B24="はい", 収支予算書!G19,"")</f>
        <v/>
      </c>
      <c r="C34" t="s">
        <v>335</v>
      </c>
    </row>
    <row r="35" spans="1:3" ht="35.4" customHeight="1" x14ac:dyDescent="0.45">
      <c r="A35" t="str">
        <f>IF(B21="","↓",IF(B21="いいえ","↓（謝礼金３の単価（税込））",IF(B24="","↓（謝礼金３の単価（税込））",IF(B24="はい","謝礼金３の単価（税込）","↓（謝礼金３の単価（税込））"))))</f>
        <v>↓</v>
      </c>
      <c r="B35" s="574" t="str">
        <f>IF(B24="はい", 収支予算書!H19,"")</f>
        <v/>
      </c>
      <c r="C35" t="s">
        <v>335</v>
      </c>
    </row>
    <row r="36" spans="1:3" ht="35.4" customHeight="1" x14ac:dyDescent="0.45">
      <c r="A36" t="str">
        <f>IF(B21="","↓",IF(B21="いいえ","↓（謝礼金３の数量）",IF(B24="","↓（謝礼金３の数量）",IF(B24="はい","謝礼金３の数量","↓（謝礼金３の数量）"))))</f>
        <v>↓</v>
      </c>
      <c r="B36" s="574" t="str">
        <f>IF(B24="はい", 収支予算書!I19,"")</f>
        <v/>
      </c>
      <c r="C36" t="s">
        <v>336</v>
      </c>
    </row>
    <row r="37" spans="1:3" ht="35.4" customHeight="1" x14ac:dyDescent="0.45">
      <c r="A37" t="str">
        <f>IF(B21="","↓",IF(B21="いいえ","↓（謝礼金３の変更理由）",IF(B24="","↓（謝礼金３の変更理由）",IF(B24="はい","謝礼金３の変更理由","謝礼金３の変更理由"))))</f>
        <v>↓</v>
      </c>
      <c r="B37" s="574"/>
      <c r="C37" t="str">
        <f>IF(B24="いいえ","←"&amp;収支予算書!G19&amp;"の変更理由を記入してください","")</f>
        <v/>
      </c>
    </row>
    <row r="38" spans="1:3" ht="35.4" customHeight="1" x14ac:dyDescent="0.45">
      <c r="A38" t="str">
        <f>IF(B21="","↓",IF(B21="いいえ","↓（謝礼金４の支出内容）",IF(B25="","↓（謝礼金４の支出内容）",IF(B25="はい","謝礼金４の支出内容","↓（謝礼金４の支出内容）"))))</f>
        <v>↓</v>
      </c>
      <c r="B38" s="574" t="str">
        <f>IF(B25="はい", 収支予算書!G20,"")</f>
        <v/>
      </c>
      <c r="C38" t="s">
        <v>335</v>
      </c>
    </row>
    <row r="39" spans="1:3" ht="35.4" customHeight="1" x14ac:dyDescent="0.45">
      <c r="A39" t="str">
        <f>IF(B21="","↓",IF(B21="いいえ","↓（謝礼金４の単価（税込））",IF(B25="","↓（謝礼金４の単価（税込））",IF(B25="はい","謝礼金４の単価（税込）","↓（謝礼金４の単価（税込））"))))</f>
        <v>↓</v>
      </c>
      <c r="B39" s="574" t="str">
        <f>IF(B25="はい", 収支予算書!H20,"")</f>
        <v/>
      </c>
      <c r="C39" t="s">
        <v>335</v>
      </c>
    </row>
    <row r="40" spans="1:3" ht="35.4" customHeight="1" x14ac:dyDescent="0.45">
      <c r="A40" t="str">
        <f>IF(B21="","↓",IF(B21="いいえ","↓（謝礼金４の数量）",IF(B25="","↓（謝礼金４の数量）",IF(B25="はい","謝礼金４の数量","↓（謝礼金４の数量）"))))</f>
        <v>↓</v>
      </c>
      <c r="B40" s="574" t="str">
        <f>IF(B25="はい", 収支予算書!I20,"")</f>
        <v/>
      </c>
      <c r="C40" t="s">
        <v>336</v>
      </c>
    </row>
    <row r="41" spans="1:3" ht="35.4" customHeight="1" x14ac:dyDescent="0.45">
      <c r="A41" t="str">
        <f>IF(B21="","↓",IF(B21="いいえ","↓（謝礼金４の変更理由）",IF(B25="","↓（謝礼金４の変更理由）",IF(B25="はい","謝礼金４の変更理由","謝礼金４の変更理由"))))</f>
        <v>↓</v>
      </c>
      <c r="B41" s="574"/>
      <c r="C41" t="str">
        <f>IF(B25="いいえ","←"&amp;収支予算書!G20&amp;"の変更理由を記入してください","")</f>
        <v/>
      </c>
    </row>
    <row r="42" spans="1:3" ht="35.4" customHeight="1" x14ac:dyDescent="0.45">
      <c r="A42" t="s">
        <v>176</v>
      </c>
      <c r="B42" s="573"/>
      <c r="C42" t="s">
        <v>28</v>
      </c>
    </row>
    <row r="43" spans="1:3" ht="35.4" customHeight="1" x14ac:dyDescent="0.45">
      <c r="A43" s="114" t="str">
        <f>IF(B42="はい",IF(入力フォーム!B160="","↓", "収支予算書に計上された「"&amp;入力フォーム!B160&amp;"」の支出はありますか"),IF(B42="いいえ","↓","↓"))</f>
        <v>↓</v>
      </c>
      <c r="B43" s="574"/>
      <c r="C43" t="s">
        <v>28</v>
      </c>
    </row>
    <row r="44" spans="1:3" ht="35.4" customHeight="1" x14ac:dyDescent="0.45">
      <c r="A44" s="114" t="str">
        <f>IF(B42="はい",IF(入力フォーム!B163="","↓", "収支予算書に計上された「"&amp;入力フォーム!B163&amp;"」の支出はありますか"),IF(B42="いいえ","↓","↓"))</f>
        <v>↓</v>
      </c>
      <c r="B44" s="574"/>
      <c r="C44" t="s">
        <v>28</v>
      </c>
    </row>
    <row r="45" spans="1:3" ht="35.4" customHeight="1" x14ac:dyDescent="0.45">
      <c r="A45" s="114" t="str">
        <f>IF(B42="はい",IF(入力フォーム!B166="","↓", "収支予算書に計上された「"&amp;入力フォーム!B166&amp;"」の支出はありますか"),IF(B42="いいえ","↓","↓"))</f>
        <v>↓</v>
      </c>
      <c r="B45" s="574"/>
      <c r="C45" t="s">
        <v>28</v>
      </c>
    </row>
    <row r="46" spans="1:3" ht="35.4" customHeight="1" x14ac:dyDescent="0.45">
      <c r="A46" s="114" t="str">
        <f>IF(B42="はい",IF(入力フォーム!B169="","↓", "収支予算書に計上された「"&amp;入力フォーム!B169&amp;"」の支出はありますか"),IF(B42="いいえ","↓","↓"))</f>
        <v>↓</v>
      </c>
      <c r="B46" s="574"/>
      <c r="C46" t="s">
        <v>28</v>
      </c>
    </row>
    <row r="47" spans="1:3" ht="35.4" customHeight="1" x14ac:dyDescent="0.45">
      <c r="A47" s="114" t="str">
        <f>IF(B42="はい",IF(入力フォーム!B172="","↓", "収支予算書に計上された「"&amp;入力フォーム!B172&amp;"」の支出はありますか"),IF(B42="いいえ","↓","↓"))</f>
        <v>↓</v>
      </c>
      <c r="B47" s="574"/>
      <c r="C47" t="s">
        <v>28</v>
      </c>
    </row>
    <row r="48" spans="1:3" ht="35.4" customHeight="1" x14ac:dyDescent="0.45">
      <c r="A48" s="114" t="str">
        <f>IF(B42="はい",IF(入力フォーム!B175="","↓", "収支予算書に計上された「"&amp;入力フォーム!B175&amp;"」の支出はありますか"),IF(B42="いいえ","↓","↓"))</f>
        <v>↓</v>
      </c>
      <c r="B48" s="574"/>
      <c r="C48" t="s">
        <v>28</v>
      </c>
    </row>
    <row r="49" spans="1:3" ht="35.4" customHeight="1" x14ac:dyDescent="0.45">
      <c r="A49" s="114" t="str">
        <f>IF(B42="はい",IF(入力フォーム!B178="","↓", "収支予算書に計上された「"&amp;入力フォーム!B178&amp;"」の支出はありますか"),IF(B42="いいえ","↓","↓"))</f>
        <v>↓</v>
      </c>
      <c r="B49" s="574"/>
      <c r="C49" t="s">
        <v>28</v>
      </c>
    </row>
    <row r="50" spans="1:3" ht="35.4" customHeight="1" x14ac:dyDescent="0.45">
      <c r="A50" s="114" t="str">
        <f>IF(B42="はい",IF(入力フォーム!B181="","↓", "収支予算書に計上された「"&amp;入力フォーム!B181&amp;"」の支出はありますか"),IF(B42="いいえ","↓","↓"))</f>
        <v>↓</v>
      </c>
      <c r="B50" s="574"/>
      <c r="C50" t="s">
        <v>28</v>
      </c>
    </row>
    <row r="51" spans="1:3" ht="35.4" customHeight="1" x14ac:dyDescent="0.45">
      <c r="A51" s="114" t="str">
        <f>IF(B42="はい",IF(入力フォーム!B184="","↓", "収支予算書に計上された「"&amp;入力フォーム!B184&amp;"」の支出はありますか"),IF(B42="いいえ","↓","↓"))</f>
        <v>↓</v>
      </c>
      <c r="B51" s="574"/>
      <c r="C51" t="s">
        <v>28</v>
      </c>
    </row>
    <row r="52" spans="1:3" ht="35.4" customHeight="1" x14ac:dyDescent="0.45">
      <c r="A52" s="114" t="str">
        <f>IF(B42="はい",IF(入力フォーム!B187="","↓", "収支予算書に計上された「"&amp;入力フォーム!B187&amp;"」の支出はありますか"),IF(B42="いいえ","↓","↓"))</f>
        <v>↓</v>
      </c>
      <c r="B52" s="574"/>
      <c r="C52" t="s">
        <v>28</v>
      </c>
    </row>
    <row r="53" spans="1:3" ht="35.4" customHeight="1" x14ac:dyDescent="0.45">
      <c r="A53" s="114" t="str">
        <f>IF(B42="はい",IF(入力フォーム!B190="","↓", "収支予算書に計上された「"&amp;入力フォーム!B190&amp;"」の支出はありますか"),IF(B42="いいえ","↓","↓"))</f>
        <v>↓</v>
      </c>
      <c r="B53" s="574"/>
      <c r="C53" t="s">
        <v>28</v>
      </c>
    </row>
    <row r="54" spans="1:3" ht="35.4" customHeight="1" x14ac:dyDescent="0.45">
      <c r="A54" s="114" t="str">
        <f>IF(B42="はい",IF(入力フォーム!B193="","↓", "収支予算書に計上された「"&amp;入力フォーム!B193&amp;"」の支出はありますか"),IF(B42="いいえ","↓","↓"))</f>
        <v>↓</v>
      </c>
      <c r="B54" s="574"/>
      <c r="C54" t="s">
        <v>28</v>
      </c>
    </row>
    <row r="55" spans="1:3" ht="35.4" customHeight="1" x14ac:dyDescent="0.45">
      <c r="A55" s="114" t="str">
        <f>IF(B42="はい",IF(入力フォーム!B196="","↓", "収支予算書に計上された「"&amp;入力フォーム!B196&amp;"」の支出はありますか"),IF(B42="いいえ","↓","↓"))</f>
        <v>↓</v>
      </c>
      <c r="B55" s="574"/>
      <c r="C55" t="s">
        <v>28</v>
      </c>
    </row>
    <row r="56" spans="1:3" ht="35.4" customHeight="1" x14ac:dyDescent="0.45">
      <c r="A56" s="114" t="str">
        <f>IF(B42="はい",IF(入力フォーム!B199="","↓", "収支予算書に計上された「"&amp;入力フォーム!B199&amp;"」の支出はありますか"),IF(B42="いいえ","↓","↓"))</f>
        <v>↓</v>
      </c>
      <c r="B56" s="574"/>
      <c r="C56" t="s">
        <v>28</v>
      </c>
    </row>
    <row r="57" spans="1:3" ht="35.4" customHeight="1" x14ac:dyDescent="0.45">
      <c r="A57" s="114" t="str">
        <f>IF(B42="はい",IF(入力フォーム!B202="","↓", "収支予算書に計上された「"&amp;入力フォーム!B202&amp;"」の支出はありますか"),IF(B42="いいえ","↓","↓"))</f>
        <v>↓</v>
      </c>
      <c r="B57" s="574"/>
      <c r="C57" t="s">
        <v>28</v>
      </c>
    </row>
    <row r="58" spans="1:3" ht="35.4" customHeight="1" x14ac:dyDescent="0.45">
      <c r="A58" s="114" t="str">
        <f>IF(B42="はい",IF(入力フォーム!B205="","↓", "収支予算書に計上された「"&amp;入力フォーム!B205&amp;"」の支出はありますか"),IF(B42="いいえ","↓","↓"))</f>
        <v>↓</v>
      </c>
      <c r="B58" s="574"/>
      <c r="C58" t="s">
        <v>28</v>
      </c>
    </row>
    <row r="59" spans="1:3" ht="35.4" customHeight="1" x14ac:dyDescent="0.45">
      <c r="A59" s="114" t="str">
        <f>IF(B42="はい",IF(入力フォーム!B208="","↓", "収支予算書に計上された「"&amp;入力フォーム!B208&amp;"」の支出はありますか"),IF(B42="いいえ","↓","↓"))</f>
        <v>↓</v>
      </c>
      <c r="B59" s="574"/>
      <c r="C59" t="s">
        <v>28</v>
      </c>
    </row>
    <row r="60" spans="1:3" ht="35.4" customHeight="1" x14ac:dyDescent="0.45">
      <c r="A60" s="13" t="str">
        <f>IF(B42="","↓",IF(B42="いいえ","↓（物品購入費１の支出内容）",IF(B43="","↓（物品購入費１の支出内容）",IF(B43="はい","物品購入費１の支出内容（例：プロジェクター）)","↓（物品購入費１の支出内容）"))))</f>
        <v>↓</v>
      </c>
      <c r="B60" s="574" t="str">
        <f>IF(B43="はい", 収支予算書!G21,"")</f>
        <v/>
      </c>
      <c r="C60" t="s">
        <v>335</v>
      </c>
    </row>
    <row r="61" spans="1:3" ht="35.4" customHeight="1" x14ac:dyDescent="0.45">
      <c r="A61" t="str">
        <f>IF(B42="","↓",IF(B42="いいえ","↓（物品購入費１の単価（税込））",IF(B43="","↓（物品購入費１の単価（税込））",IF(B43="はい","物品購入費１の単価（税込）","↓（物品購入費１の単価（税込））"))))</f>
        <v>↓</v>
      </c>
      <c r="B61" s="574" t="str">
        <f>IF(B43="はい", 収支予算書!H21,"")</f>
        <v/>
      </c>
      <c r="C61" t="s">
        <v>335</v>
      </c>
    </row>
    <row r="62" spans="1:3" ht="35.4" customHeight="1" x14ac:dyDescent="0.45">
      <c r="A62" t="str">
        <f>IF(B42="","↓",IF(B42="いいえ","↓（物品購入費１の数量）",IF(B43="","↓（物品購入費１の数量）",IF(B43="はい","物品購入費１の数量","↓（物品購入費１の数量）"))))</f>
        <v>↓</v>
      </c>
      <c r="B62" s="574" t="str">
        <f>IF(B43="はい", 収支予算書!I21,"")</f>
        <v/>
      </c>
      <c r="C62" t="s">
        <v>336</v>
      </c>
    </row>
    <row r="63" spans="1:3" ht="35.4" customHeight="1" x14ac:dyDescent="0.45">
      <c r="A63" t="str">
        <f>IF(B42="","↓",IF(B42="いいえ","↓（物品購入費１の変更理由）",IF(B43="","↓（物品購入費１の変更理由）",IF(B43="はい","物品購入費１の変更理由","物品購入費１の変更理由"))))</f>
        <v>↓</v>
      </c>
      <c r="B63" s="574"/>
      <c r="C63" t="str">
        <f>IF(B43="いいえ","←"&amp;収支予算書!G21&amp;"の変更理由を記入してください","")</f>
        <v/>
      </c>
    </row>
    <row r="64" spans="1:3" ht="35.4" customHeight="1" x14ac:dyDescent="0.45">
      <c r="A64" t="str">
        <f>IF(B42="","↓",IF(B42="いいえ","↓（物品購入費２の支出内容）",IF(B44="","↓（物品購入費２の支出内容）",IF(B44="はい","物品購入費２の支出内容","↓（物品購入費２の支出内容）"))))</f>
        <v>↓</v>
      </c>
      <c r="B64" s="574" t="str">
        <f>IF(B44="はい", 収支予算書!G22,"")</f>
        <v/>
      </c>
      <c r="C64" t="s">
        <v>335</v>
      </c>
    </row>
    <row r="65" spans="1:3" ht="35.4" customHeight="1" x14ac:dyDescent="0.45">
      <c r="A65" t="str">
        <f>IF(B42="","↓",IF(B42="いいえ","↓（物品購入費２の単価（税込））",IF(B44="","↓（物品購入費２の単価（税込））",IF(B44="はい","物品購入費２の単価（税込）","↓（物品購入費２の単価（税込））"))))</f>
        <v>↓</v>
      </c>
      <c r="B65" s="574" t="str">
        <f>IF(B44="はい", 収支予算書!H22,"")</f>
        <v/>
      </c>
      <c r="C65" t="s">
        <v>335</v>
      </c>
    </row>
    <row r="66" spans="1:3" ht="35.4" customHeight="1" x14ac:dyDescent="0.45">
      <c r="A66" t="str">
        <f>IF(B42="","↓",IF(B42="いいえ","↓（物品購入費２の数量）",IF(B44="", "↓（物品購入費２の数量）",IF(B44="はい","物品購入費２の数量","↓（物品購入費２の数量）"))))</f>
        <v>↓</v>
      </c>
      <c r="B66" s="574" t="str">
        <f>IF(B44="はい", 収支予算書!I22,"")</f>
        <v/>
      </c>
      <c r="C66" t="s">
        <v>336</v>
      </c>
    </row>
    <row r="67" spans="1:3" ht="35.4" customHeight="1" x14ac:dyDescent="0.45">
      <c r="A67" t="str">
        <f>IF(B42="","↓",IF(B42="いいえ","↓（物品購入費２の変更理由）",IF(B44="","↓（物品購入費２の変更理由）",IF(B44="はい","物品購入費２の変更理由","物品購入費２の変更理由"))))</f>
        <v>↓</v>
      </c>
      <c r="B67" s="574"/>
      <c r="C67" t="str">
        <f>IF(B44="いいえ","←"&amp;収支予算書!G22&amp;"の変更理由を記入してください","")</f>
        <v/>
      </c>
    </row>
    <row r="68" spans="1:3" ht="35.4" customHeight="1" x14ac:dyDescent="0.45">
      <c r="A68" t="str">
        <f>IF(B42="","↓",IF(B42="いいえ","↓（物品購入費３の支出内容）",IF(B45="","↓（物品購入費３の支出内容）",IF(B45="はい","物品購入費３の支出内容","↓（物品購入費３の支出内容）"))))</f>
        <v>↓</v>
      </c>
      <c r="B68" s="574" t="str">
        <f>IF(B45="はい", 収支予算書!G23,"")</f>
        <v/>
      </c>
      <c r="C68" t="s">
        <v>335</v>
      </c>
    </row>
    <row r="69" spans="1:3" ht="35.4" customHeight="1" x14ac:dyDescent="0.45">
      <c r="A69" t="str">
        <f>IF(B42="","↓",IF(B42="いいえ","↓（物品購入費３の単価（税込））",IF(B45="","↓（物品購入費３の単価（税込））",IF(B45="はい","物品購入費３の単価（税込）","↓（物品購入費３の単価（税込））"))))</f>
        <v>↓</v>
      </c>
      <c r="B69" s="574" t="str">
        <f>IF(B45="はい", 収支予算書!H23,"")</f>
        <v/>
      </c>
      <c r="C69" t="s">
        <v>335</v>
      </c>
    </row>
    <row r="70" spans="1:3" ht="35.4" customHeight="1" x14ac:dyDescent="0.45">
      <c r="A70" t="str">
        <f>IF(B42="","↓",IF(B42="いいえ","↓（物品購入費３の数量）",IF(B45="", "↓（物品購入費３の数量）",IF(B45="はい","物品購入費３の数量","↓（物品購入費３の数量）"))))</f>
        <v>↓</v>
      </c>
      <c r="B70" s="574" t="str">
        <f>IF(B45="はい", 収支予算書!I23,"")</f>
        <v/>
      </c>
      <c r="C70" t="s">
        <v>336</v>
      </c>
    </row>
    <row r="71" spans="1:3" ht="35.4" customHeight="1" x14ac:dyDescent="0.45">
      <c r="A71" t="str">
        <f>IF(B42="","↓",IF(B42="いいえ","↓（物品購入費２の変更理由）",IF(B45="","↓（物品購入費３の変更理由）",IF(B45="はい","物品購入費３の変更理由","物品購入費３の変更理由"))))</f>
        <v>↓</v>
      </c>
      <c r="B71" s="574"/>
      <c r="C71" t="str">
        <f>IF(B45="いいえ","←"&amp;収支予算書!G23&amp;"の変更理由を記入してください","")</f>
        <v/>
      </c>
    </row>
    <row r="72" spans="1:3" ht="35.4" customHeight="1" x14ac:dyDescent="0.45">
      <c r="A72" t="str">
        <f>IF(B42="","↓",IF(B42="いいえ","↓（物品購入費４の支出内容）",IF(B46="","↓（物品購入費４の支出内容）",IF(B46="はい","物品購入費４の支出内容","↓（物品購入費４の支出内容）"))))</f>
        <v>↓</v>
      </c>
      <c r="B72" s="574" t="str">
        <f>IF(B46="はい", 収支予算書!G24,"")</f>
        <v/>
      </c>
      <c r="C72" t="s">
        <v>335</v>
      </c>
    </row>
    <row r="73" spans="1:3" ht="35.4" customHeight="1" x14ac:dyDescent="0.45">
      <c r="A73" t="str">
        <f>IF(B42="","↓",IF(B42="いいえ","↓（物品購入費４の単価（税込））",IF(B46="","↓（物品購入費４の単価（税込））",IF(B46="はい","物品購入費４の単価（税込）","↓（物品購入費４の単価（税込））"))))</f>
        <v>↓</v>
      </c>
      <c r="B73" s="574" t="str">
        <f>IF(B46="はい", 収支予算書!H24,"")</f>
        <v/>
      </c>
      <c r="C73" t="s">
        <v>335</v>
      </c>
    </row>
    <row r="74" spans="1:3" ht="35.4" customHeight="1" x14ac:dyDescent="0.45">
      <c r="A74" t="str">
        <f>IF(B42="","↓",IF(B42="いいえ","↓（物品購入費４の数量）",IF(B46="", "↓（物品購入費４の数量）",IF(B46="はい","物品購入費４の数量","↓（物品購入費４の数量）"))))</f>
        <v>↓</v>
      </c>
      <c r="B74" s="574" t="str">
        <f>IF(B46="はい", 収支予算書!I24,"")</f>
        <v/>
      </c>
      <c r="C74" t="s">
        <v>336</v>
      </c>
    </row>
    <row r="75" spans="1:3" ht="35.4" customHeight="1" x14ac:dyDescent="0.45">
      <c r="A75" t="str">
        <f>IF(B42="","↓",IF(B42="いいえ","↓（物品購入費４の変更理由）",IF(B46="","↓（物品購入費４の変更理由）",IF(B46="はい","物品購入費４の変更理由","物品購入費４の変更理由"))))</f>
        <v>↓</v>
      </c>
      <c r="B75" s="574"/>
      <c r="C75" t="str">
        <f>IF(B46="いいえ","←"&amp;収支予算書!G24&amp;"の変更理由を記入してください","")</f>
        <v/>
      </c>
    </row>
    <row r="76" spans="1:3" ht="35.4" customHeight="1" x14ac:dyDescent="0.45">
      <c r="A76" t="str">
        <f>IF(B42="","↓",IF(B42="いいえ","↓（物品購入費５の支出内容）",IF(B47="","↓（物品購入費５の支出内容）",IF(B47="はい","物品購入費５の支出内容","↓（物品購入費５の支出内容）"))))</f>
        <v>↓</v>
      </c>
      <c r="B76" s="574" t="str">
        <f>IF(B47="はい", 収支予算書!G25,"")</f>
        <v/>
      </c>
      <c r="C76" t="s">
        <v>335</v>
      </c>
    </row>
    <row r="77" spans="1:3" ht="35.4" customHeight="1" x14ac:dyDescent="0.45">
      <c r="A77" t="str">
        <f>IF(B42="","↓",IF(B42="いいえ","↓（物品購入費５の単価（税込））",IF(B47="","↓（物品購入費５の単価（税込））",IF(B47="はい","物品購入費５の単価（税込）","↓（物品購入費５の単価（税込））"))))</f>
        <v>↓</v>
      </c>
      <c r="B77" s="574" t="str">
        <f>IF(B47="はい", 収支予算書!H25,"")</f>
        <v/>
      </c>
      <c r="C77" t="s">
        <v>335</v>
      </c>
    </row>
    <row r="78" spans="1:3" ht="35.4" customHeight="1" x14ac:dyDescent="0.45">
      <c r="A78" t="str">
        <f>IF(B42="","↓",IF(B42="いいえ","↓（物品購入費５の数量）",IF(B47="","↓（物品購入費５の数量）",IF(B47="はい","物品購入費５の数量","↓（物品購入費５の数量）"))))</f>
        <v>↓</v>
      </c>
      <c r="B78" s="574" t="str">
        <f>IF(B47="はい", 収支予算書!I25,"")</f>
        <v/>
      </c>
      <c r="C78" t="s">
        <v>336</v>
      </c>
    </row>
    <row r="79" spans="1:3" ht="35.4" customHeight="1" x14ac:dyDescent="0.45">
      <c r="A79" t="str">
        <f>IF(B42="","↓",IF(B42="いいえ","↓（物品購入費５の変更理由）",IF(B47="","↓（物品購入費５の変更理由）",IF(B47="はい","物品購入費５の変更理由","物品購入費５の変更理由"))))</f>
        <v>↓</v>
      </c>
      <c r="B79" s="574"/>
      <c r="C79" t="str">
        <f>IF(B47="いいえ","←"&amp;収支予算書!G25&amp;"の変更理由を記入してください","")</f>
        <v/>
      </c>
    </row>
    <row r="80" spans="1:3" ht="35.4" customHeight="1" x14ac:dyDescent="0.45">
      <c r="A80" t="str">
        <f>IF(B42="","↓",IF(B42="いいえ","↓（物品購入費６の支出内容）",IF(B48="","↓（物品購入費６の支出内容）",IF(B48="はい","物品購入費６の支出内容","↓（物品購入費６の支出内容）"))))</f>
        <v>↓</v>
      </c>
      <c r="B80" s="574" t="str">
        <f>IF(B48="はい", 収支予算書!G26,"")</f>
        <v/>
      </c>
      <c r="C80" t="s">
        <v>335</v>
      </c>
    </row>
    <row r="81" spans="1:3" ht="35.4" customHeight="1" x14ac:dyDescent="0.45">
      <c r="A81" t="str">
        <f>IF(B42="","↓",IF(B42="いいえ","↓（物品購入費６の単価（税込））",IF(B48="","↓（物品購入費６の単価（税込））",IF(B48="はい","物品購入費６の単価（税込）","↓（物品購入費６の単価（税込））"))))</f>
        <v>↓</v>
      </c>
      <c r="B81" s="574" t="str">
        <f>IF(B48="はい", 収支予算書!H26,"")</f>
        <v/>
      </c>
      <c r="C81" t="s">
        <v>335</v>
      </c>
    </row>
    <row r="82" spans="1:3" ht="35.4" customHeight="1" x14ac:dyDescent="0.45">
      <c r="A82" t="str">
        <f>IF(B42="","↓",IF(B42="いいえ","↓（物品購入費６の数量）",IF(B48="","↓（物品購入費６の数量）",IF(B48="はい","物品購入費６の数量","↓（物品購入費６の数量）"))))</f>
        <v>↓</v>
      </c>
      <c r="B82" s="574" t="str">
        <f>IF(B48="はい", 収支予算書!I26,"")</f>
        <v/>
      </c>
      <c r="C82" t="s">
        <v>336</v>
      </c>
    </row>
    <row r="83" spans="1:3" ht="35.4" customHeight="1" x14ac:dyDescent="0.45">
      <c r="A83" t="str">
        <f>IF(B42="","↓",IF(B42="いいえ","↓（物品購入費６の変更理由）",IF(B48="","↓（物品購入費６の変更理由）",IF(B48="はい","物品購入費６の変更理由","物品購入費６の変更理由"))))</f>
        <v>↓</v>
      </c>
      <c r="B83" s="574"/>
      <c r="C83" t="str">
        <f>IF(B48="いいえ","←"&amp;収支予算書!G26&amp;"の変更理由を記入してください","")</f>
        <v/>
      </c>
    </row>
    <row r="84" spans="1:3" ht="35.4" customHeight="1" x14ac:dyDescent="0.45">
      <c r="A84" t="str">
        <f>IF(B42="","↓",IF(B42="いいえ","↓（物品購入費７の支出内容）",IF(B49="","↓（物品購入費７の支出内容）",IF(B49="はい","物品購入費７の支出内容","↓（物品購入費７の支出内容）"))))</f>
        <v>↓</v>
      </c>
      <c r="B84" s="574" t="str">
        <f>IF(B49="はい", 収支予算書!G27,"")</f>
        <v/>
      </c>
      <c r="C84" t="s">
        <v>335</v>
      </c>
    </row>
    <row r="85" spans="1:3" ht="35.4" customHeight="1" x14ac:dyDescent="0.45">
      <c r="A85" t="str">
        <f>IF(B42="","↓",IF(B42="いいえ","↓（物品購入費７の単価（税込））",IF(B49="","↓（物品購入費７の単価（税込））",IF(B49="はい","物品購入費７の単価（税込）","↓（物品購入費７の単価（税込））"))))</f>
        <v>↓</v>
      </c>
      <c r="B85" s="574" t="str">
        <f>IF(B49="はい", 収支予算書!H27,"")</f>
        <v/>
      </c>
      <c r="C85" t="s">
        <v>335</v>
      </c>
    </row>
    <row r="86" spans="1:3" ht="35.4" customHeight="1" x14ac:dyDescent="0.45">
      <c r="A86" t="str">
        <f>IF(B42="","↓",IF(B42="いいえ","↓（物品購入費７の数量）",IF(B49="","↓（物品購入費７の数量）",IF(B49="はい","物品購入費７の数量","↓（物品購入費７の数量）"))))</f>
        <v>↓</v>
      </c>
      <c r="B86" s="574" t="str">
        <f>IF(B49="はい", 収支予算書!I27,"")</f>
        <v/>
      </c>
      <c r="C86" t="s">
        <v>336</v>
      </c>
    </row>
    <row r="87" spans="1:3" ht="35.4" customHeight="1" x14ac:dyDescent="0.45">
      <c r="A87" t="str">
        <f>IF(B42="","↓",IF(B42="いいえ","↓（物品購入費７の変更理由）",IF(B49="","↓（物品購入費７の変更理由）",IF(B49="はい","物品購入費７の変更理由","物品購入費７の変更理由"))))</f>
        <v>↓</v>
      </c>
      <c r="B87" s="574"/>
      <c r="C87" t="str">
        <f>IF(B49="いいえ","←"&amp;収支予算書!G27&amp;"の変更理由を記入してください","")</f>
        <v/>
      </c>
    </row>
    <row r="88" spans="1:3" ht="35.4" customHeight="1" x14ac:dyDescent="0.45">
      <c r="A88" t="str">
        <f>IF(B42="","↓",IF(B42="いいえ","↓（物品購入費８の支出内容）",IF(B50="","↓（物品購入費８の支出内容）",IF(B50="はい","物品購入費８の支出内容","↓（物品購入費８の支出内容）"))))</f>
        <v>↓</v>
      </c>
      <c r="B88" s="574" t="str">
        <f>IF(B50="はい", 収支予算書!G28,"")</f>
        <v/>
      </c>
      <c r="C88" t="s">
        <v>335</v>
      </c>
    </row>
    <row r="89" spans="1:3" ht="35.4" customHeight="1" x14ac:dyDescent="0.45">
      <c r="A89" t="str">
        <f>IF(B42="","↓",IF(B42="いいえ","↓（物品購入費８の単価（税込））",IF(B50="","↓（物品購入費８の単価（税込））",IF(B50="はい","物品購入費８の単価（税込）","↓（物品購入費８の単価（税込））"))))</f>
        <v>↓</v>
      </c>
      <c r="B89" s="574" t="str">
        <f>IF(B50="はい", 収支予算書!H28,"")</f>
        <v/>
      </c>
      <c r="C89" t="s">
        <v>335</v>
      </c>
    </row>
    <row r="90" spans="1:3" ht="35.4" customHeight="1" x14ac:dyDescent="0.45">
      <c r="A90" t="str">
        <f>IF(B42="","↓",IF(B42="いいえ","↓（物品購入費８の数量）",IF(B50="","↓（物品購入費８の数量）",IF(B50="はい","物品購入費８の数量","↓（物品購入費８の数量）"))))</f>
        <v>↓</v>
      </c>
      <c r="B90" s="574" t="str">
        <f>IF(B50="はい", 収支予算書!I28,"")</f>
        <v/>
      </c>
      <c r="C90" t="s">
        <v>336</v>
      </c>
    </row>
    <row r="91" spans="1:3" ht="35.4" customHeight="1" x14ac:dyDescent="0.45">
      <c r="A91" t="str">
        <f>IF(B42="","↓",IF(B42="いいえ","↓（物品購入費８の変更理由）",IF(B50="","↓（物品購入費８の変更理由）",IF(B50="はい","物品購入費８の変更理由","物品購入費８の変更理由"))))</f>
        <v>↓</v>
      </c>
      <c r="B91" s="574"/>
      <c r="C91" t="str">
        <f>IF(B50="いいえ","←"&amp;収支予算書!G28&amp;"の変更理由を記入してください","")</f>
        <v/>
      </c>
    </row>
    <row r="92" spans="1:3" ht="35.4" customHeight="1" x14ac:dyDescent="0.45">
      <c r="A92" t="str">
        <f>IF(B42="","↓",IF(B42="いいえ","↓（物品購入費９の支出内容）",IF(B51="","↓（物品購入費９の支出内容）",IF(B51="はい","物品購入費９の支出内容","↓（物品購入費９の支出内容）"))))</f>
        <v>↓</v>
      </c>
      <c r="B92" s="574" t="str">
        <f>IF(B51="はい", 収支予算書!G29,"")</f>
        <v/>
      </c>
      <c r="C92" t="s">
        <v>335</v>
      </c>
    </row>
    <row r="93" spans="1:3" ht="35.4" customHeight="1" x14ac:dyDescent="0.45">
      <c r="A93" t="str">
        <f>IF(B42="","↓",IF(B42="いいえ","↓（物品購入費９の単価（税込））",IF(B51="","↓（物品購入費９の単価（税込））",IF(B51="はい","物品購入費９の単価（税込）","↓（物品購入費９の単価（税込））"))))</f>
        <v>↓</v>
      </c>
      <c r="B93" s="574" t="str">
        <f>IF(B51="はい", 収支予算書!H29,"")</f>
        <v/>
      </c>
      <c r="C93" t="s">
        <v>335</v>
      </c>
    </row>
    <row r="94" spans="1:3" ht="35.4" customHeight="1" x14ac:dyDescent="0.45">
      <c r="A94" t="str">
        <f>IF(B42="","↓",IF(B42="いいえ","↓（物品購入費９の数量）",IF(B51="","↓（物品購入費９の数量）",IF(B51="はい","物品購入費９の数量","↓（物品購入費９の数量）"))))</f>
        <v>↓</v>
      </c>
      <c r="B94" s="574" t="str">
        <f>IF(B51="はい", 収支予算書!I29,"")</f>
        <v/>
      </c>
      <c r="C94" t="s">
        <v>336</v>
      </c>
    </row>
    <row r="95" spans="1:3" ht="35.4" customHeight="1" x14ac:dyDescent="0.45">
      <c r="A95" t="str">
        <f>IF(B42="","↓",IF(B42="いいえ","↓（物品購入費９の変更理由）",IF(B51="","↓（物品購入費９の変更理由）",IF(B51="はい","物品購入費９の変更理由","物品購入費９の変更理由"))))</f>
        <v>↓</v>
      </c>
      <c r="B95" s="574"/>
      <c r="C95" t="str">
        <f>IF(B51="いいえ","←"&amp;収支予算書!G29&amp;"の変更理由を記入してください","")</f>
        <v/>
      </c>
    </row>
    <row r="96" spans="1:3" ht="35.4" customHeight="1" x14ac:dyDescent="0.45">
      <c r="A96" t="str">
        <f>IF(B42="","↓",IF(B42="いいえ","↓（物品購入費10の支出内容）",IF(B52="","↓（物品購入費10の支出内容）",IF(B52="はい","物品購入費10の支出内容","↓（物品購入費10の支出内容）"))))</f>
        <v>↓</v>
      </c>
      <c r="B96" s="574" t="str">
        <f>IF(B52="はい", 収支予算書!G30,"")</f>
        <v/>
      </c>
      <c r="C96" t="s">
        <v>335</v>
      </c>
    </row>
    <row r="97" spans="1:3" ht="35.4" customHeight="1" x14ac:dyDescent="0.45">
      <c r="A97" t="str">
        <f>IF(B42="","↓",IF(B42="いいえ","↓（物品購入費10の単価（税込））",IF(B52="","↓（物品購入費10の単価（税込））",IF(B52="はい","物品購入費10の単価（税込）","↓（物品購入費10の単価（税込））"))))</f>
        <v>↓</v>
      </c>
      <c r="B97" s="574" t="str">
        <f>IF(B52="はい", 収支予算書!H30,"")</f>
        <v/>
      </c>
      <c r="C97" t="s">
        <v>335</v>
      </c>
    </row>
    <row r="98" spans="1:3" ht="35.4" customHeight="1" x14ac:dyDescent="0.45">
      <c r="A98" t="str">
        <f>IF(B42="","↓",IF(B42="いいえ","↓（物品購入費10の数量）",IF(B52="","↓（物品購入費10の数量）",IF(B52="はい","物品購入費10の数量","↓（物品購入費10の数量）"))))</f>
        <v>↓</v>
      </c>
      <c r="B98" s="574" t="str">
        <f>IF(B52="はい", 収支予算書!I30,"")</f>
        <v/>
      </c>
      <c r="C98" t="s">
        <v>336</v>
      </c>
    </row>
    <row r="99" spans="1:3" ht="35.4" customHeight="1" x14ac:dyDescent="0.45">
      <c r="A99" t="str">
        <f>IF(B42="","↓",IF(B42="いいえ","↓（物品購入費10の変更理由）",IF(B52="","↓（物品購入費10の変更理由）",IF(B52="はい","物品購入費10の変更理由","物品購入費10の変更理由"))))</f>
        <v>↓</v>
      </c>
      <c r="B99" s="574"/>
      <c r="C99" t="str">
        <f>IF(B52="いいえ","←"&amp;収支予算書!G30&amp;"の変更理由を記入してください","")</f>
        <v/>
      </c>
    </row>
    <row r="100" spans="1:3" ht="35.4" customHeight="1" x14ac:dyDescent="0.45">
      <c r="A100" t="str">
        <f>IF(B42="","↓",IF(B42="いいえ","↓（物品購入費11の支出内容）",IF(B53="","↓（物品購入費11の支出内容）",IF(B53="はい","物品購入費11の支出内容","↓（物品購入費11の支出内容）"))))</f>
        <v>↓</v>
      </c>
      <c r="B100" s="574" t="str">
        <f>IF(B53="はい", 収支予算書!G31,"")</f>
        <v/>
      </c>
      <c r="C100" t="s">
        <v>335</v>
      </c>
    </row>
    <row r="101" spans="1:3" ht="35.4" customHeight="1" x14ac:dyDescent="0.45">
      <c r="A101" t="str">
        <f>IF(B42="","↓",IF(B42="いいえ","↓（物品購入費11の単価（税込））",IF(B53="","↓（物品購入費11の単価（税込））",IF(B53="はい","物品購入費11の単価（税込）","↓（物品購入費11の単価（税込））"))))</f>
        <v>↓</v>
      </c>
      <c r="B101" s="574" t="str">
        <f>IF(B53="はい", 収支予算書!H31,"")</f>
        <v/>
      </c>
      <c r="C101" t="s">
        <v>335</v>
      </c>
    </row>
    <row r="102" spans="1:3" ht="35.4" customHeight="1" x14ac:dyDescent="0.45">
      <c r="A102" t="str">
        <f>IF(B42="","↓",IF(B42="いいえ","↓（物品購入費11の数量）",IF(B53="","↓（物品購入費11の数量）",IF(B53="はい","物品購入費11の数量","↓（物品購入費11の数量）"))))</f>
        <v>↓</v>
      </c>
      <c r="B102" s="574" t="str">
        <f>IF(B53="はい", 収支予算書!I31,"")</f>
        <v/>
      </c>
      <c r="C102" t="s">
        <v>336</v>
      </c>
    </row>
    <row r="103" spans="1:3" ht="35.4" customHeight="1" x14ac:dyDescent="0.45">
      <c r="A103" t="str">
        <f>IF(B42="","↓",IF(B42="いいえ","↓（物品購入費11の変更理由）",IF(B53="","↓（物品購入費11の変更理由）",IF(B53="はい","物品購入費11の変更理由","物品購入費11の変更理由"))))</f>
        <v>↓</v>
      </c>
      <c r="B103" s="574"/>
      <c r="C103" t="str">
        <f>IF(B53="いいえ","←"&amp;収支予算書!G31&amp;"の変更理由を記入してください","")</f>
        <v/>
      </c>
    </row>
    <row r="104" spans="1:3" ht="35.4" customHeight="1" x14ac:dyDescent="0.45">
      <c r="A104" t="str">
        <f>IF(B42="","↓",IF(B42="いいえ","↓（物品購入費12の支出内容）",IF(B54="","↓（物品購入費12の支出内容）",IF(B54="はい","物品購入費12の支出内容","↓（物品購入費12の支出内容）"))))</f>
        <v>↓</v>
      </c>
      <c r="B104" s="574" t="str">
        <f>IF(B54="はい", 収支予算書!G32,"")</f>
        <v/>
      </c>
      <c r="C104" t="s">
        <v>335</v>
      </c>
    </row>
    <row r="105" spans="1:3" ht="35.4" customHeight="1" x14ac:dyDescent="0.45">
      <c r="A105" t="str">
        <f>IF(B42="","↓",IF(B42="いいえ","↓（物品購入費12の単価（税込））",IF(B54="","↓（物品購入費12の単価（税込））",IF(B54="はい","物品購入費12の単価（税込）","↓（物品購入費12の単価（税込））"))))</f>
        <v>↓</v>
      </c>
      <c r="B105" s="574" t="str">
        <f>IF(B54="はい", 収支予算書!H32,"")</f>
        <v/>
      </c>
      <c r="C105" t="s">
        <v>335</v>
      </c>
    </row>
    <row r="106" spans="1:3" ht="35.4" customHeight="1" x14ac:dyDescent="0.45">
      <c r="A106" t="str">
        <f>IF(B42="","↓",IF(B42="いいえ","↓（物品購入費12の数量）",IF(B54="","↓（物品購入費12の数量）",IF(B54="はい","物品購入費12の数量","↓（物品購入費12の数量）"))))</f>
        <v>↓</v>
      </c>
      <c r="B106" s="574" t="str">
        <f>IF(B54="はい", 収支予算書!I32,"")</f>
        <v/>
      </c>
      <c r="C106" t="s">
        <v>336</v>
      </c>
    </row>
    <row r="107" spans="1:3" ht="35.4" customHeight="1" x14ac:dyDescent="0.45">
      <c r="A107" t="str">
        <f>IF(B42="","↓",IF(B42="いいえ","↓（物品購入費12の変更理由）",IF(B54="","↓（物品購入費12の変更理由）",IF(B54="はい","物品購入費12の変更理由","物品購入費12の変更理由"))))</f>
        <v>↓</v>
      </c>
      <c r="B107" s="574"/>
      <c r="C107" t="str">
        <f>IF(B54="いいえ","←"&amp;収支予算書!G32&amp;"の変更理由を記入してください","")</f>
        <v/>
      </c>
    </row>
    <row r="108" spans="1:3" ht="35.4" customHeight="1" x14ac:dyDescent="0.45">
      <c r="A108" t="str">
        <f>IF(B42="","↓",IF(B42="いいえ","↓（物品購入費13の支出内容）",IF(B55="","↓（物品購入費13の支出内容）",IF(B55="はい","物品購入費13の支出内容","↓（物品購入費13の支出内容）"))))</f>
        <v>↓</v>
      </c>
      <c r="B108" s="574" t="str">
        <f>IF(B55="はい", 収支予算書!G33,"")</f>
        <v/>
      </c>
      <c r="C108" t="s">
        <v>335</v>
      </c>
    </row>
    <row r="109" spans="1:3" ht="35.4" customHeight="1" x14ac:dyDescent="0.45">
      <c r="A109" t="str">
        <f>IF(B42="","↓",IF(B42="いいえ","↓（物品購入費13の単価（税込））",IF(B55="","↓（物品購入費13の単価（税込））",IF(B55="はい","物品購入費13の単価（税込）","↓（物品購入費13の単価（税込））"))))</f>
        <v>↓</v>
      </c>
      <c r="B109" s="574" t="str">
        <f>IF(B55="はい", 収支予算書!H33,"")</f>
        <v/>
      </c>
      <c r="C109" t="s">
        <v>335</v>
      </c>
    </row>
    <row r="110" spans="1:3" ht="35.4" customHeight="1" x14ac:dyDescent="0.45">
      <c r="A110" t="str">
        <f>IF(B42="","↓",IF(B42="いいえ","↓（物品購入費13の数量）",IF(B55="","↓（物品購入費13の数量）",IF(B55="はい","物品購入費13の数量","↓（物品購入費13の数量）"))))</f>
        <v>↓</v>
      </c>
      <c r="B110" s="574" t="str">
        <f>IF(B55="はい", 収支予算書!I33,"")</f>
        <v/>
      </c>
      <c r="C110" t="s">
        <v>336</v>
      </c>
    </row>
    <row r="111" spans="1:3" ht="35.4" customHeight="1" x14ac:dyDescent="0.45">
      <c r="A111" t="str">
        <f>IF(B42="","↓",IF(B42="いいえ","↓（物品購入費13の変更理由）",IF(B55="","↓（物品購入費13の変更理由）",IF(B55="はい","物品購入費13の変更理由","物品購入費13の変更理由"))))</f>
        <v>↓</v>
      </c>
      <c r="B111" s="574"/>
      <c r="C111" t="str">
        <f>IF(B55="いいえ","←"&amp;収支予算書!G33&amp;"の変更理由を記入してください","")</f>
        <v/>
      </c>
    </row>
    <row r="112" spans="1:3" ht="35.4" customHeight="1" x14ac:dyDescent="0.45">
      <c r="A112" t="str">
        <f>IF(B42="","↓",IF(B42="いいえ","↓（物品購入費14の支出内容）",IF(B56="","↓（物品購入費14の支出内容）",IF(B56="はい","物品購入費14の支出内容","↓（物品購入費14の支出内容）"))))</f>
        <v>↓</v>
      </c>
      <c r="B112" s="574" t="str">
        <f>IF(B56="はい", 収支予算書!G34,"")</f>
        <v/>
      </c>
      <c r="C112" t="s">
        <v>335</v>
      </c>
    </row>
    <row r="113" spans="1:3" ht="35.4" customHeight="1" x14ac:dyDescent="0.45">
      <c r="A113" t="str">
        <f>IF(B42="","↓",IF(B42="いいえ","↓（物品購入費14の単価（税込））",IF(B56="","↓（物品購入費14の単価（税込））",IF(B56="はい","物品購入費14の単価（税込）","↓（物品購入費14の単価（税込））"))))</f>
        <v>↓</v>
      </c>
      <c r="B113" s="574" t="str">
        <f>IF(B56="はい", 収支予算書!H34,"")</f>
        <v/>
      </c>
      <c r="C113" t="s">
        <v>335</v>
      </c>
    </row>
    <row r="114" spans="1:3" ht="35.4" customHeight="1" x14ac:dyDescent="0.45">
      <c r="A114" t="str">
        <f>IF(B42="","↓",IF(B42="いいえ","↓（物品購入費14の数量）",IF(B56="","↓（物品購入費14の数量）",IF(B56="はい","物品購入費14の数量","↓（物品購入費14の数量）"))))</f>
        <v>↓</v>
      </c>
      <c r="B114" s="574" t="str">
        <f>IF(B56="はい", 収支予算書!I34,"")</f>
        <v/>
      </c>
      <c r="C114" t="s">
        <v>336</v>
      </c>
    </row>
    <row r="115" spans="1:3" ht="35.4" customHeight="1" x14ac:dyDescent="0.45">
      <c r="A115" t="str">
        <f>IF(B42="","↓",IF(B42="いいえ","↓（物品購入費14の変更理由）",IF(B56="","↓（物品購入費14の変更理由）",IF(B56="はい","物品購入費14の変更理由","物品購入費14の変更理由"))))</f>
        <v>↓</v>
      </c>
      <c r="B115" s="574"/>
      <c r="C115" t="str">
        <f>IF(B56="いいえ","←"&amp;収支予算書!G34&amp;"の変更理由を記入してください","")</f>
        <v/>
      </c>
    </row>
    <row r="116" spans="1:3" ht="35.4" customHeight="1" x14ac:dyDescent="0.45">
      <c r="A116" t="str">
        <f>IF(B42="","↓",IF(B42="いいえ","↓（物品購入費15の支出内容）",IF(B57="","↓（物品購入費15の支出内容）",IF(B57="はい","物品購入費15の支出内容","↓（物品購入費15の支出内容）"))))</f>
        <v>↓</v>
      </c>
      <c r="B116" s="574" t="str">
        <f>IF(B57="はい", 収支予算書!G35,"")</f>
        <v/>
      </c>
      <c r="C116" t="s">
        <v>335</v>
      </c>
    </row>
    <row r="117" spans="1:3" ht="35.4" customHeight="1" x14ac:dyDescent="0.45">
      <c r="A117" t="str">
        <f>IF(B42="","↓",IF(B42="いいえ","↓（物品購入費15の単価（税込））",IF(B57="","↓（物品購入費15の単価（税込））",IF(B57="はい","物品購入費15の単価（税込）","↓（物品購入費15の単価（税込））"))))</f>
        <v>↓</v>
      </c>
      <c r="B117" s="574" t="str">
        <f>IF(B57="はい", 収支予算書!H35,"")</f>
        <v/>
      </c>
      <c r="C117" t="s">
        <v>335</v>
      </c>
    </row>
    <row r="118" spans="1:3" ht="35.4" customHeight="1" x14ac:dyDescent="0.45">
      <c r="A118" t="str">
        <f>IF(B42="","↓",IF(B42="いいえ","↓（物品購入費15の数量）",IF(B57="","↓（物品購入費15の数量）",IF(B57="はい","物品購入費15の数量","↓（物品購入費15の数量）"))))</f>
        <v>↓</v>
      </c>
      <c r="B118" s="574" t="str">
        <f>IF(B57="はい", 収支予算書!I35,"")</f>
        <v/>
      </c>
      <c r="C118" t="s">
        <v>336</v>
      </c>
    </row>
    <row r="119" spans="1:3" ht="35.4" customHeight="1" x14ac:dyDescent="0.45">
      <c r="A119" t="str">
        <f>IF(B42="","↓",IF(B42="いいえ","↓（物品購入費15の変更理由）",IF(B57="","↓（物品購入費15の変更理由）",IF(B57="はい","物品購入費15の変更理由","物品購入費15の変更理由"))))</f>
        <v>↓</v>
      </c>
      <c r="B119" s="574"/>
      <c r="C119" t="str">
        <f>IF(B57="いいえ","←"&amp;収支予算書!G35&amp;"の変更理由を記入してください","")</f>
        <v/>
      </c>
    </row>
    <row r="120" spans="1:3" ht="35.4" customHeight="1" x14ac:dyDescent="0.45">
      <c r="A120" t="str">
        <f>IF(B42="","↓",IF(B42="いいえ","↓（物品購入費16の支出内容）",IF(B58="","↓（物品購入費16の支出内容）",IF(B58="はい","物品購入費16の支出内容","↓（物品購入費16の支出内容）"))))</f>
        <v>↓</v>
      </c>
      <c r="B120" s="574" t="str">
        <f>IF(B58="はい", 収支予算書!G36,"")</f>
        <v/>
      </c>
      <c r="C120" t="s">
        <v>335</v>
      </c>
    </row>
    <row r="121" spans="1:3" ht="35.4" customHeight="1" x14ac:dyDescent="0.45">
      <c r="A121" t="str">
        <f>IF(B42="","↓",IF(B42="いいえ","↓（物品購入費16の単価（税込））",IF(B58="","↓（物品購入費16の単価（税込））",IF(B58="はい","物品購入費16の単価（税込）","↓（物品購入費16の単価（税込））"))))</f>
        <v>↓</v>
      </c>
      <c r="B121" s="574" t="str">
        <f>IF(B58="はい", 収支予算書!H36,"")</f>
        <v/>
      </c>
      <c r="C121" t="s">
        <v>335</v>
      </c>
    </row>
    <row r="122" spans="1:3" ht="35.4" customHeight="1" x14ac:dyDescent="0.45">
      <c r="A122" t="str">
        <f>IF(B42="","↓",IF(B42="いいえ","↓（物品購入費16の数量）",IF(B58="","↓（物品購入費16の数量）",IF(B58="はい","物品購入費16の数量","↓（物品購入費16の数量）"))))</f>
        <v>↓</v>
      </c>
      <c r="B122" s="574" t="str">
        <f>IF(B58="はい", 収支予算書!I36,"")</f>
        <v/>
      </c>
      <c r="C122" t="s">
        <v>336</v>
      </c>
    </row>
    <row r="123" spans="1:3" ht="35.4" customHeight="1" x14ac:dyDescent="0.45">
      <c r="A123" t="str">
        <f>IF(B42="","↓",IF(B42="いいえ","↓（物品購入費16の変更理由）",IF(B58="","↓（物品購入費16の変更理由）",IF(B58="はい","物品購入費16の変更理由","物品購入費16の変更理由"))))</f>
        <v>↓</v>
      </c>
      <c r="B123" s="574"/>
      <c r="C123" t="str">
        <f>IF(B58="いいえ","←"&amp;収支予算書!G36&amp;"の変更理由を記入してください","")</f>
        <v/>
      </c>
    </row>
    <row r="124" spans="1:3" ht="35.4" customHeight="1" x14ac:dyDescent="0.45">
      <c r="A124" t="str">
        <f>IF(B42="","↓",IF(B42="いいえ","↓（物品購入費17の支出内容）",IF(B59="","↓（物品購入費17の支出内容）",IF(B59="はい","物品購入費17の支出内容","↓（物品購入費17の支出内容）"))))</f>
        <v>↓</v>
      </c>
      <c r="B124" s="574" t="str">
        <f>IF(B59="はい", 収支予算書!G37,"")</f>
        <v/>
      </c>
      <c r="C124" t="s">
        <v>335</v>
      </c>
    </row>
    <row r="125" spans="1:3" ht="35.4" customHeight="1" x14ac:dyDescent="0.45">
      <c r="A125" t="str">
        <f>IF(B42="","↓",IF(B42="いいえ","↓（物品購入費17の単価（税込））",IF(B59="","↓（物品購入費17の単価（税込））",IF(B59="はい","物品購入費17の単価（税込）","↓（物品購入費17の単価（税込））"))))</f>
        <v>↓</v>
      </c>
      <c r="B125" s="574" t="str">
        <f>IF(B59="はい", 収支予算書!H37,"")</f>
        <v/>
      </c>
      <c r="C125" t="s">
        <v>335</v>
      </c>
    </row>
    <row r="126" spans="1:3" ht="35.4" customHeight="1" x14ac:dyDescent="0.45">
      <c r="A126" t="str">
        <f>IF(B42="","↓",IF(B42="いいえ","↓（物品購入費17の数量）",IF(B59="","↓（物品購入費17の数量）",IF(B59="はい","物品購入費17の数量","↓（物品購入費17の数量）"))))</f>
        <v>↓</v>
      </c>
      <c r="B126" s="574" t="str">
        <f>IF(B59="はい", 収支予算書!I37,"")</f>
        <v/>
      </c>
      <c r="C126" t="s">
        <v>336</v>
      </c>
    </row>
    <row r="127" spans="1:3" ht="35.4" customHeight="1" x14ac:dyDescent="0.45">
      <c r="A127" t="str">
        <f>IF(B42="","↓",IF(B42="いいえ","↓（物品購入費17の変更理由）",IF(B59="","↓（物品購入費17の変更理由）",IF(B59="はい","物品購入費17の変更理由","物品購入費17の変更理由"))))</f>
        <v>↓</v>
      </c>
      <c r="B127" s="574"/>
      <c r="C127" t="str">
        <f>IF(B59="いいえ","←"&amp;収支予算書!G37&amp;"の変更理由を記入してください","")</f>
        <v/>
      </c>
    </row>
    <row r="128" spans="1:3" ht="35.4" customHeight="1" x14ac:dyDescent="0.45">
      <c r="A128" t="s">
        <v>177</v>
      </c>
      <c r="B128" s="573"/>
      <c r="C128" t="s">
        <v>28</v>
      </c>
    </row>
    <row r="129" spans="1:3" ht="35.4" customHeight="1" x14ac:dyDescent="0.45">
      <c r="A129" s="114" t="str">
        <f>IF(B128="はい",IF(入力フォーム!B212="","↓", "収支予算書に計上された「"&amp;入力フォーム!B212&amp;"」の支出はありますか"),IF(B128="いいえ","↓","↓"))</f>
        <v>↓</v>
      </c>
      <c r="B129" s="574"/>
      <c r="C129" t="s">
        <v>28</v>
      </c>
    </row>
    <row r="130" spans="1:3" ht="35.4" customHeight="1" x14ac:dyDescent="0.45">
      <c r="A130" s="114" t="str">
        <f>IF(B128="はい",IF(入力フォーム!B215="","↓", "収支予算書に計上された「"&amp;入力フォーム!B215&amp;"」の支出はありますか"),IF(B128="いいえ","↓","↓"))</f>
        <v>↓</v>
      </c>
      <c r="B130" s="574"/>
      <c r="C130" t="s">
        <v>28</v>
      </c>
    </row>
    <row r="131" spans="1:3" ht="35.4" customHeight="1" x14ac:dyDescent="0.45">
      <c r="A131" s="114" t="str">
        <f>IF(B128="はい",IF(入力フォーム!B218="","↓", "収支予算書に計上された「"&amp;入力フォーム!B218&amp;"」の支出はありますか"),IF(B128="いいえ","↓","↓"))</f>
        <v>↓</v>
      </c>
      <c r="B131" s="574"/>
      <c r="C131" t="s">
        <v>28</v>
      </c>
    </row>
    <row r="132" spans="1:3" ht="35.4" customHeight="1" x14ac:dyDescent="0.45">
      <c r="A132" s="114" t="str">
        <f>IF(B128="はい",IF(入力フォーム!B221="","↓", "収支予算書に計上された「"&amp;入力フォーム!B221&amp;"」の支出はありますか"),IF(B128="いいえ","↓","↓"))</f>
        <v>↓</v>
      </c>
      <c r="B132" s="574"/>
      <c r="C132" t="s">
        <v>28</v>
      </c>
    </row>
    <row r="133" spans="1:3" ht="35.4" customHeight="1" x14ac:dyDescent="0.45">
      <c r="A133" s="13" t="str">
        <f>IF(B128="","↓",IF(B128="いいえ","↓（印刷経費１の支出内容）",IF(B129="","↓（印刷経費１の支出内容）",IF(B129="はい","印刷経費１の支出内容（例：周知用ポスターの印刷30部)","↓（印刷経費１の支出内容）"))))</f>
        <v>↓</v>
      </c>
      <c r="B133" s="574" t="str">
        <f>IF(B129="はい", 収支予算書!G38,"")</f>
        <v/>
      </c>
      <c r="C133" t="s">
        <v>335</v>
      </c>
    </row>
    <row r="134" spans="1:3" ht="35.4" customHeight="1" x14ac:dyDescent="0.45">
      <c r="A134" t="str">
        <f>IF(B128="","↓",IF(B128="いいえ","↓（印刷経費１の単価（税込））",IF(B129="","↓（印刷経費１の単価（税込））",IF(B129="はい","印刷経費１の単価（税込）","↓（印刷経費１の単価（税込））"))))</f>
        <v>↓</v>
      </c>
      <c r="B134" s="574" t="str">
        <f>IF(B129="はい", 収支予算書!H38,"")</f>
        <v/>
      </c>
      <c r="C134" t="s">
        <v>335</v>
      </c>
    </row>
    <row r="135" spans="1:3" ht="35.4" customHeight="1" x14ac:dyDescent="0.45">
      <c r="A135" t="str">
        <f>IF(B128="","↓",IF(B128="いいえ","↓（印刷経費１の数量）",IF(B129="","↓（印刷経費１の数量）",IF(B129="はい","印刷経費１の数量","↓（印刷経費１の数量）"))))</f>
        <v>↓</v>
      </c>
      <c r="B135" s="574" t="str">
        <f>IF(B129="はい", 収支予算書!I38,"")</f>
        <v/>
      </c>
      <c r="C135" t="s">
        <v>336</v>
      </c>
    </row>
    <row r="136" spans="1:3" ht="35.4" customHeight="1" x14ac:dyDescent="0.45">
      <c r="A136" t="str">
        <f>IF(B128="","↓",IF(B128="いいえ","↓（印刷経費１の変更理由）",IF(B129="","↓（印刷経費１の変更理由）",IF(B129="はい","印刷経費１の変更理由","印刷経費１の変更理由"))))</f>
        <v>↓</v>
      </c>
      <c r="B136" s="574"/>
      <c r="C136" t="str">
        <f>IF(B129="いいえ","←"&amp;収支予算書!G38&amp;"の変更理由を記入してください","")</f>
        <v/>
      </c>
    </row>
    <row r="137" spans="1:3" ht="35.4" customHeight="1" x14ac:dyDescent="0.45">
      <c r="A137" t="str">
        <f>IF(B128="","↓",IF(B128="いいえ","↓（印刷経費２の支出内容）",IF(B130="","↓（印刷経費２の支出内容）",IF(B130="はい","印刷経費２の支出内容","↓（印刷経費２の支出内容）"))))</f>
        <v>↓</v>
      </c>
      <c r="B137" s="574" t="str">
        <f>IF(B130="はい", 収支予算書!G39,"")</f>
        <v/>
      </c>
      <c r="C137" t="s">
        <v>335</v>
      </c>
    </row>
    <row r="138" spans="1:3" ht="35.4" customHeight="1" x14ac:dyDescent="0.45">
      <c r="A138" t="str">
        <f>IF(B128="","↓",IF(B128="いいえ","↓（印刷経費２の単価（税込））",IF(B130="","↓（印刷経費２の単価（税込））",IF(B130="はい","印刷経費２の単価（税込）","↓（印刷経費２の単価（税込））"))))</f>
        <v>↓</v>
      </c>
      <c r="B138" s="574" t="str">
        <f>IF(B130="はい", 収支予算書!H39,"")</f>
        <v/>
      </c>
      <c r="C138" t="s">
        <v>335</v>
      </c>
    </row>
    <row r="139" spans="1:3" ht="35.4" customHeight="1" x14ac:dyDescent="0.45">
      <c r="A139" t="str">
        <f>IF(B128="","↓",IF(B128="いいえ","↓（印刷経費２の数量）",IF(B130="","↓（印刷経費２の数量）",IF(B130="はい","印刷経費２の数量","↓（印刷経費２の数量）"))))</f>
        <v>↓</v>
      </c>
      <c r="B139" s="574" t="str">
        <f>IF(B130="はい", 収支予算書!I39,"")</f>
        <v/>
      </c>
      <c r="C139" t="s">
        <v>336</v>
      </c>
    </row>
    <row r="140" spans="1:3" ht="35.4" customHeight="1" x14ac:dyDescent="0.45">
      <c r="A140" t="str">
        <f>IF(B128="","↓",IF(B128="いいえ","↓（印刷経費２の変更理由）",IF(B130="","↓（印刷経費２の変更理由）",IF(B130="はい","印刷経費２の変更理由","印刷経費２の変更理由"))))</f>
        <v>↓</v>
      </c>
      <c r="B140" s="574"/>
      <c r="C140" t="str">
        <f>IF(B130="いいえ","←"&amp;収支予算書!G39&amp;"の変更理由を記入してください","")</f>
        <v/>
      </c>
    </row>
    <row r="141" spans="1:3" ht="35.4" customHeight="1" x14ac:dyDescent="0.45">
      <c r="A141" t="str">
        <f>IF(B128="","↓",IF(B128="いいえ","↓（印刷経費３の支出内容）",IF(B131="","↓（印刷経費３の支出内容）",IF(B131="はい","印刷経費３の支出内容","↓（印刷経費３の支出内容）"))))</f>
        <v>↓</v>
      </c>
      <c r="B141" s="574" t="str">
        <f>IF(B131="はい", 収支予算書!G40,"")</f>
        <v/>
      </c>
      <c r="C141" t="s">
        <v>335</v>
      </c>
    </row>
    <row r="142" spans="1:3" ht="35.4" customHeight="1" x14ac:dyDescent="0.45">
      <c r="A142" t="str">
        <f>IF(B128="","↓",IF(B128="いいえ","↓（印刷経費３の単価（税込））",IF(B131="","↓（印刷経費３の単価（税込））",IF(B131="はい","印刷経費３の単価（税込）","↓（印刷経費３の単価（税込））"))))</f>
        <v>↓</v>
      </c>
      <c r="B142" s="574" t="str">
        <f>IF(B131="はい", 収支予算書!H40,"")</f>
        <v/>
      </c>
      <c r="C142" t="s">
        <v>335</v>
      </c>
    </row>
    <row r="143" spans="1:3" ht="35.4" customHeight="1" x14ac:dyDescent="0.45">
      <c r="A143" t="str">
        <f>IF(B128="","↓",IF(B128="いいえ","↓（印刷経費３の数量）",IF(B131="","↓（印刷経費３の数量）",IF(B131="はい","印刷経費３の数量","↓（印刷経費３の数量）"))))</f>
        <v>↓</v>
      </c>
      <c r="B143" s="574" t="str">
        <f>IF(B131="はい", 収支予算書!I40,"")</f>
        <v/>
      </c>
      <c r="C143" t="s">
        <v>336</v>
      </c>
    </row>
    <row r="144" spans="1:3" ht="35.4" customHeight="1" x14ac:dyDescent="0.45">
      <c r="A144" t="str">
        <f>IF(B128="","↓",IF(B128="いいえ","↓（印刷経費３の変更理由）",IF(B131="","↓（印刷経費３の変更理由）",IF(B131="はい","印刷経費３の変更理由","印刷経費３の変更理由"))))</f>
        <v>↓</v>
      </c>
      <c r="B144" s="574"/>
      <c r="C144" t="str">
        <f>IF(B131="いいえ","←"&amp;収支予算書!G40&amp;"の変更理由を記入してください","")</f>
        <v/>
      </c>
    </row>
    <row r="145" spans="1:3" ht="35.4" customHeight="1" x14ac:dyDescent="0.45">
      <c r="A145" t="str">
        <f>IF(B128="","↓",IF(B128="いいえ","↓（印刷経費４の支出内容）",IF(B132="","↓（印刷経費４の支出内容）",IF(B132="はい","印刷経費４の支出内容","↓（印刷経費４の支出内容）"))))</f>
        <v>↓</v>
      </c>
      <c r="B145" s="574" t="str">
        <f>IF(B132="はい", 収支予算書!G41,"")</f>
        <v/>
      </c>
      <c r="C145" t="s">
        <v>335</v>
      </c>
    </row>
    <row r="146" spans="1:3" ht="35.4" customHeight="1" x14ac:dyDescent="0.45">
      <c r="A146" t="str">
        <f>IF(B128="","↓",IF(B128="いいえ","↓（印刷経費４の単価（税込））",IF(B132="","↓（印刷経費４の単価（税込））",IF(B132="はい","印刷経費４の単価（税込）","↓（印刷経費４の単価（税込））"))))</f>
        <v>↓</v>
      </c>
      <c r="B146" s="574" t="str">
        <f>IF(B132="はい", 収支予算書!H41,"")</f>
        <v/>
      </c>
      <c r="C146" t="s">
        <v>335</v>
      </c>
    </row>
    <row r="147" spans="1:3" ht="35.4" customHeight="1" x14ac:dyDescent="0.45">
      <c r="A147" t="str">
        <f>IF(B128="","↓",IF(B128="いいえ","↓（印刷経費４の数量）",IF(B132="","↓（印刷経費４の数量）",IF(B132="はい","印刷経費４の数量","↓（印刷経費４の数量）"))))</f>
        <v>↓</v>
      </c>
      <c r="B147" s="574" t="str">
        <f>IF(B132="はい", 収支予算書!I41,"")</f>
        <v/>
      </c>
      <c r="C147" t="s">
        <v>336</v>
      </c>
    </row>
    <row r="148" spans="1:3" ht="35.4" customHeight="1" x14ac:dyDescent="0.45">
      <c r="A148" t="str">
        <f>IF(B128="","↓",IF(B128="いいえ","↓（印刷経費４の変更理由）",IF(B132="","↓（印刷経費４の変更理由）",IF(B132="はい","印刷経費４の変更理由","印刷経費４の変更理由"))))</f>
        <v>↓</v>
      </c>
      <c r="B148" s="574"/>
      <c r="C148" t="str">
        <f>IF(B132="いいえ","←"&amp;収支予算書!G41&amp;"の変更理由を記入してください","")</f>
        <v/>
      </c>
    </row>
    <row r="149" spans="1:3" ht="35.4" customHeight="1" x14ac:dyDescent="0.45">
      <c r="A149" t="s">
        <v>178</v>
      </c>
      <c r="B149" s="573"/>
      <c r="C149" t="s">
        <v>28</v>
      </c>
    </row>
    <row r="150" spans="1:3" ht="35.4" customHeight="1" x14ac:dyDescent="0.45">
      <c r="A150" s="114" t="str">
        <f>IF(B149="はい",IF(入力フォーム!B225="","↓", "収支予算書に計上された「"&amp;入力フォーム!B225&amp;"」の支出はありますか"),IF(B149="いいえ","↓","↓"))</f>
        <v>↓</v>
      </c>
      <c r="B150" s="574"/>
      <c r="C150" t="s">
        <v>28</v>
      </c>
    </row>
    <row r="151" spans="1:3" ht="35.4" customHeight="1" x14ac:dyDescent="0.45">
      <c r="A151" s="114" t="str">
        <f>IF(B149="はい",IF(入力フォーム!B228="","↓", "収支予算書に計上された「"&amp;入力フォーム!B228&amp;"」の支出はありますか"),IF(B149="いいえ","↓","↓"))</f>
        <v>↓</v>
      </c>
      <c r="B151" s="574"/>
      <c r="C151" t="s">
        <v>28</v>
      </c>
    </row>
    <row r="152" spans="1:3" ht="35.4" customHeight="1" x14ac:dyDescent="0.45">
      <c r="A152" s="114" t="str">
        <f>IF(B149="はい",IF(入力フォーム!B231="","↓", "収支予算書に計上された「"&amp;入力フォーム!B231&amp;"」の支出はありますか"),IF(B149="いいえ","↓","↓"))</f>
        <v>↓</v>
      </c>
      <c r="B152" s="574"/>
      <c r="C152" t="s">
        <v>28</v>
      </c>
    </row>
    <row r="153" spans="1:3" ht="35.4" customHeight="1" x14ac:dyDescent="0.45">
      <c r="A153" s="114" t="str">
        <f>IF(B149="はい",IF(入力フォーム!B234="","↓", "収支予算書に計上された「"&amp;入力フォーム!B234&amp;"」の支出はありますか"),IF(B149="いいえ","↓","↓"))</f>
        <v>↓</v>
      </c>
      <c r="B153" s="574"/>
      <c r="C153" t="s">
        <v>28</v>
      </c>
    </row>
    <row r="154" spans="1:3" ht="35.4" customHeight="1" x14ac:dyDescent="0.45">
      <c r="A154" s="13" t="str">
        <f>IF(B149="","↓",IF(B149="いいえ","↓（役務費１の支出内容）",IF(B150="","↓（役務費１の支出内容）",IF(B150="はい","役務費１の支出内容（例：チラシのポスティング100世帯分）)","↓（役務費１の支出内容）"))))</f>
        <v>↓</v>
      </c>
      <c r="B154" s="574" t="str">
        <f>IF(B150="はい", 収支予算書!G42,"")</f>
        <v/>
      </c>
      <c r="C154" t="s">
        <v>335</v>
      </c>
    </row>
    <row r="155" spans="1:3" ht="35.4" customHeight="1" x14ac:dyDescent="0.45">
      <c r="A155" t="str">
        <f>IF(B149="","↓",IF(B149="いいえ","↓（役務費１の単価（税込））",IF(B150="","↓（役務費１の単価（税込））",IF(B150="はい","役務費１の単価（税込）","↓（役務費１の単価（税込））"))))</f>
        <v>↓</v>
      </c>
      <c r="B155" s="574" t="str">
        <f>IF(B150="はい", 収支予算書!H42,"")</f>
        <v/>
      </c>
      <c r="C155" t="s">
        <v>335</v>
      </c>
    </row>
    <row r="156" spans="1:3" ht="35.4" customHeight="1" x14ac:dyDescent="0.45">
      <c r="A156" t="str">
        <f>IF(B149="","↓",IF(B149="いいえ","↓（役務費１の数量）",IF(B150="","↓（役務費１の数量）",IF(B150="はい","役務費１の数量","↓（役務費１の数量）"))))</f>
        <v>↓</v>
      </c>
      <c r="B156" s="574" t="str">
        <f>IF(B150="はい", 収支予算書!I42,"")</f>
        <v/>
      </c>
      <c r="C156" t="s">
        <v>336</v>
      </c>
    </row>
    <row r="157" spans="1:3" ht="35.4" customHeight="1" x14ac:dyDescent="0.45">
      <c r="A157" t="str">
        <f>IF(B149="","↓",IF(B149="いいえ","↓（役務費１の変更理由）",IF(B150="","↓（役務費１の変更理由）",IF(B150="はい","役務費１の変更理由","役務費１の変更理由"))))</f>
        <v>↓</v>
      </c>
      <c r="B157" s="574"/>
      <c r="C157" t="str">
        <f>IF(B150="いいえ","←"&amp;収支予算書!G42&amp;"の変更理由を記入してください","")</f>
        <v/>
      </c>
    </row>
    <row r="158" spans="1:3" ht="35.4" customHeight="1" x14ac:dyDescent="0.45">
      <c r="A158" t="str">
        <f>IF(B149="","↓",IF(B149="いいえ","↓（役務費２の支出内容）",IF(B151="","↓（役務費２の支出内容）",IF(B151="はい","役務費２の支出内容","↓（役務費２の支出内容）"))))</f>
        <v>↓</v>
      </c>
      <c r="B158" s="574" t="str">
        <f>IF(B151="はい", 収支予算書!G43,"")</f>
        <v/>
      </c>
      <c r="C158" t="s">
        <v>335</v>
      </c>
    </row>
    <row r="159" spans="1:3" ht="35.4" customHeight="1" x14ac:dyDescent="0.45">
      <c r="A159" t="str">
        <f>IF(B149="","↓",IF(B149="いいえ","↓（役務費２の単価（税込））",IF(B151="","↓（役務費２の単価（税込））",IF(B151="はい","役務費２の単価（税込）","↓（役務費２の単価（税込））"))))</f>
        <v>↓</v>
      </c>
      <c r="B159" s="574" t="str">
        <f>IF(B151="はい", 収支予算書!H43,"")</f>
        <v/>
      </c>
      <c r="C159" t="s">
        <v>335</v>
      </c>
    </row>
    <row r="160" spans="1:3" ht="35.4" customHeight="1" x14ac:dyDescent="0.45">
      <c r="A160" t="str">
        <f>IF(B149="","↓",IF(B149="いいえ","↓（役務費２の数量）",IF(B151="","↓（役務費２の数量）",IF(B151="はい","役務費２の数量","↓（役務費２の数量）"))))</f>
        <v>↓</v>
      </c>
      <c r="B160" s="574" t="str">
        <f>IF(B151="はい", 収支予算書!I43,"")</f>
        <v/>
      </c>
      <c r="C160" t="s">
        <v>336</v>
      </c>
    </row>
    <row r="161" spans="1:3" ht="35.4" customHeight="1" x14ac:dyDescent="0.45">
      <c r="A161" t="str">
        <f>IF(B149="","↓",IF(B149="いいえ","↓（役務費２の変更理由）",IF(B151="","↓（役務費２の変更理由）",IF(B151="はい","役務費２の変更理由","役務費２の変更理由"))))</f>
        <v>↓</v>
      </c>
      <c r="B161" s="574"/>
      <c r="C161" t="str">
        <f>IF(B151="いいえ","←"&amp;収支予算書!G43&amp;"の変更理由を記入してください","")</f>
        <v/>
      </c>
    </row>
    <row r="162" spans="1:3" ht="35.4" customHeight="1" x14ac:dyDescent="0.45">
      <c r="A162" t="str">
        <f>IF(B149="","↓",IF(B149="いいえ","↓（役務費３の支出内容）",IF(B152="","↓（役務費３の支出内容）",IF(B152="はい","役務費３の支出内容","↓（役務費３の支出内容）"))))</f>
        <v>↓</v>
      </c>
      <c r="B162" s="574" t="str">
        <f>IF(B152="はい", 収支予算書!G44,"")</f>
        <v/>
      </c>
      <c r="C162" t="s">
        <v>335</v>
      </c>
    </row>
    <row r="163" spans="1:3" ht="35.4" customHeight="1" x14ac:dyDescent="0.45">
      <c r="A163" t="str">
        <f>IF(B149="","↓",IF(B149="いいえ","↓（役務費３の単価（税込））",IF(B152="","↓（役務費３の単価（税込））",IF(B152="はい","役務費３の単価（税込）","↓（役務費３の単価（税込））"))))</f>
        <v>↓</v>
      </c>
      <c r="B163" s="574" t="str">
        <f>IF(B152="はい", 収支予算書!H44,"")</f>
        <v/>
      </c>
      <c r="C163" t="s">
        <v>335</v>
      </c>
    </row>
    <row r="164" spans="1:3" ht="35.4" customHeight="1" x14ac:dyDescent="0.45">
      <c r="A164" t="str">
        <f>IF(B149="","↓",IF(B149="いいえ","↓（役務費３の数量）",IF(B152="","↓（役務費３の数量）",IF(B152="はい","役務費３の数量","↓（役務費３の数量）"))))</f>
        <v>↓</v>
      </c>
      <c r="B164" s="574" t="str">
        <f>IF(B152="はい", 収支予算書!I44,"")</f>
        <v/>
      </c>
      <c r="C164" t="s">
        <v>336</v>
      </c>
    </row>
    <row r="165" spans="1:3" ht="35.4" customHeight="1" x14ac:dyDescent="0.45">
      <c r="A165" t="str">
        <f>IF(B149="","↓",IF(B149="いいえ","↓（役務費３の変更理由）",IF(B152="","↓（役務費３の変更理由）",IF(B152="はい","役務費３の変更理由","役務費３の変更理由"))))</f>
        <v>↓</v>
      </c>
      <c r="B165" s="574"/>
      <c r="C165" t="str">
        <f>IF(B152="いいえ","←"&amp;収支予算書!G44&amp;"の変更理由を記入してください","")</f>
        <v/>
      </c>
    </row>
    <row r="166" spans="1:3" ht="35.4" customHeight="1" x14ac:dyDescent="0.45">
      <c r="A166" t="str">
        <f>IF(B149="","↓",IF(B149="いいえ","↓（役務費４の支出内容）",IF(B153="","↓（役務費４の支出内容）",IF(B153="はい","役務費４の支出内容","↓（役務費４の支出内容）"))))</f>
        <v>↓</v>
      </c>
      <c r="B166" s="574" t="str">
        <f>IF(B153="はい", 収支予算書!G45,"")</f>
        <v/>
      </c>
      <c r="C166" t="s">
        <v>335</v>
      </c>
    </row>
    <row r="167" spans="1:3" ht="35.4" customHeight="1" x14ac:dyDescent="0.45">
      <c r="A167" t="str">
        <f>IF(B149="","↓",IF(B149="いいえ","↓（役務費４の単価（税込））",IF(B153="","↓（役務費４の単価（税込））",IF(B153="はい","役務費４の単価（税込）","↓（役務費４の単価（税込））"))))</f>
        <v>↓</v>
      </c>
      <c r="B167" s="574" t="str">
        <f>IF(B153="はい", 収支予算書!H45,"")</f>
        <v/>
      </c>
      <c r="C167" t="s">
        <v>335</v>
      </c>
    </row>
    <row r="168" spans="1:3" ht="35.4" customHeight="1" x14ac:dyDescent="0.45">
      <c r="A168" t="str">
        <f>IF(B149="","↓",IF(B149="いいえ","↓（役務費４の数量）",IF(B153="","↓（役務費４の数量）",IF(B153="はい","役務費４の数量","↓（役務費４の数量）"))))</f>
        <v>↓</v>
      </c>
      <c r="B168" s="574" t="str">
        <f>IF(B153="はい", 収支予算書!I45,"")</f>
        <v/>
      </c>
      <c r="C168" t="s">
        <v>336</v>
      </c>
    </row>
    <row r="169" spans="1:3" ht="35.4" customHeight="1" x14ac:dyDescent="0.45">
      <c r="A169" t="str">
        <f>IF(B149="","↓",IF(B149="いいえ","↓（役務費４の変更理由）",IF(B153="","↓（役務費４の変更理由）",IF(B153="はい","役務費４の変更理由","役務費４の変更理由"))))</f>
        <v>↓</v>
      </c>
      <c r="B169" s="574"/>
      <c r="C169" t="str">
        <f>IF(B153="いいえ","←"&amp;収支予算書!G45&amp;"の変更理由を記入してください","")</f>
        <v/>
      </c>
    </row>
    <row r="170" spans="1:3" ht="35.4" customHeight="1" x14ac:dyDescent="0.45">
      <c r="A170" t="s">
        <v>179</v>
      </c>
      <c r="B170" s="573"/>
      <c r="C170" t="s">
        <v>28</v>
      </c>
    </row>
    <row r="171" spans="1:3" ht="35.4" customHeight="1" x14ac:dyDescent="0.45">
      <c r="A171" s="114" t="str">
        <f>IF(B170="はい",IF(入力フォーム!B238="","↓", "収支予算書に計上された「"&amp;入力フォーム!B238&amp;"」の支出はありますか"),IF(B170="いいえ","↓","↓"))</f>
        <v>↓</v>
      </c>
      <c r="B171" s="574"/>
      <c r="C171" t="s">
        <v>28</v>
      </c>
    </row>
    <row r="172" spans="1:3" ht="35.4" customHeight="1" x14ac:dyDescent="0.45">
      <c r="A172" s="114" t="str">
        <f>IF(B170="はい",IF(入力フォーム!B241="","↓", "収支予算書に計上された「"&amp;入力フォーム!B241&amp;"」の支出はありますか"),IF(B170="いいえ","↓","↓"))</f>
        <v>↓</v>
      </c>
      <c r="B172" s="574"/>
      <c r="C172" t="s">
        <v>28</v>
      </c>
    </row>
    <row r="173" spans="1:3" ht="35.4" customHeight="1" x14ac:dyDescent="0.45">
      <c r="A173" s="114" t="str">
        <f>IF(B170="はい",IF(入力フォーム!B244="","↓", "収支予算書に計上された「"&amp;入力フォーム!B244&amp;"」の支出はありますか"),IF(B170="いいえ","↓","↓"))</f>
        <v>↓</v>
      </c>
      <c r="B173" s="574"/>
      <c r="C173" t="s">
        <v>28</v>
      </c>
    </row>
    <row r="174" spans="1:3" ht="35.4" customHeight="1" x14ac:dyDescent="0.45">
      <c r="A174" s="114" t="str">
        <f>IF(B170="はい",IF(入力フォーム!B247="","↓", "収支予算書に計上された「"&amp;入力フォーム!B247&amp;"」の支出はありますか"),IF(B170="いいえ","↓","↓"))</f>
        <v>↓</v>
      </c>
      <c r="B174" s="574"/>
      <c r="C174" t="s">
        <v>28</v>
      </c>
    </row>
    <row r="175" spans="1:3" ht="35.4" customHeight="1" x14ac:dyDescent="0.45">
      <c r="A175" s="13" t="str">
        <f>IF(B170="","↓",IF(B170="いいえ","↓（レンタル・リース料１の支出内容）",IF(B171="","↓（レンタル・リース料１の支出内容）",IF(B171="はい","レンタル・リース料１の支出内容（例：Wi-Fiルーターレンタル・リース期間30日分）)","↓（レンタル・リース料１の支出内容）"))))</f>
        <v>↓</v>
      </c>
      <c r="B175" s="574" t="str">
        <f>IF(B171="はい", 収支予算書!G46,"")</f>
        <v/>
      </c>
      <c r="C175" t="s">
        <v>335</v>
      </c>
    </row>
    <row r="176" spans="1:3" ht="35.4" customHeight="1" x14ac:dyDescent="0.45">
      <c r="A176" t="str">
        <f>IF(B170="","↓",IF(B170="いいえ","↓（レンタル・リース料１の単価（税込））",IF(B171="","↓（レンタル・リース料１の単価（税込））",IF(B171="はい","レンタル・リース料１の単価（税込）","↓（レンタル・リース料１の単価（税込））"))))</f>
        <v>↓</v>
      </c>
      <c r="B176" s="574" t="str">
        <f>IF(B171="はい", 収支予算書!H46,"")</f>
        <v/>
      </c>
      <c r="C176" t="s">
        <v>335</v>
      </c>
    </row>
    <row r="177" spans="1:3" ht="35.4" customHeight="1" x14ac:dyDescent="0.45">
      <c r="A177" t="str">
        <f>IF(B170="","↓",IF(B170="いいえ","↓（レンタル・リース料１の数量）",IF(B171="","↓（レンタル・リース料１の数量）",IF(B171="はい","レンタル・リース料１の数量","↓（レンタル・リース料１の数量）"))))</f>
        <v>↓</v>
      </c>
      <c r="B177" s="574" t="str">
        <f>IF(B171="はい", 収支予算書!I46,"")</f>
        <v/>
      </c>
      <c r="C177" t="s">
        <v>336</v>
      </c>
    </row>
    <row r="178" spans="1:3" ht="35.4" customHeight="1" x14ac:dyDescent="0.45">
      <c r="A178" t="str">
        <f>IF(B170="","↓",IF(B170="いいえ","↓（レンタル・リース料１の変更理由）",IF(B171="","↓（レンタル・リース料１の変更理由）",IF(B171="はい","レンタル・リース料１の変更理由","レンタル・リース料１の変更理由"))))</f>
        <v>↓</v>
      </c>
      <c r="B178" s="574"/>
      <c r="C178" t="str">
        <f>IF(B171="いいえ","←"&amp;収支予算書!G46&amp;"の変更理由を記入してください","")</f>
        <v/>
      </c>
    </row>
    <row r="179" spans="1:3" ht="35.4" customHeight="1" x14ac:dyDescent="0.45">
      <c r="A179" t="str">
        <f>IF(B170="","↓",IF(B170="いいえ","↓（レンタル・リース料２の支出内容）",IF(B172="","↓（レンタル・リース料２の支出内容）",IF(B172="はい","レンタル・リース料２の支出内容","↓（レンタル・リース料２の支出内容）"))))</f>
        <v>↓</v>
      </c>
      <c r="B179" s="574" t="str">
        <f>IF(B172="はい", 収支予算書!G47,"")</f>
        <v/>
      </c>
      <c r="C179" t="s">
        <v>335</v>
      </c>
    </row>
    <row r="180" spans="1:3" ht="35.4" customHeight="1" x14ac:dyDescent="0.45">
      <c r="A180" t="str">
        <f>IF(B170="","↓",IF(B170="いいえ","↓（レンタル・リース料２の単価（税込））",IF(B172="","↓（レンタル・リース料２の単価（税込））",IF(B172="はい","レンタル・リース料２の単価（税込）","↓（レンタル・リース料２の単価（税込））"))))</f>
        <v>↓</v>
      </c>
      <c r="B180" s="574" t="str">
        <f>IF(B172="はい", 収支予算書!H47,"")</f>
        <v/>
      </c>
      <c r="C180" t="s">
        <v>335</v>
      </c>
    </row>
    <row r="181" spans="1:3" ht="35.4" customHeight="1" x14ac:dyDescent="0.45">
      <c r="A181" t="str">
        <f>IF(B170="","↓",IF(B170="いいえ","↓（レンタル・リース料２の数量）",IF(B172="","↓（レンタル・リース料２の数量）",IF(B172="はい","レンタル・リース料２の数量","↓（レンタル・リース料２の数量）"))))</f>
        <v>↓</v>
      </c>
      <c r="B181" s="574" t="str">
        <f>IF(B172="はい", 収支予算書!I47,"")</f>
        <v/>
      </c>
      <c r="C181" t="s">
        <v>336</v>
      </c>
    </row>
    <row r="182" spans="1:3" ht="35.4" customHeight="1" x14ac:dyDescent="0.45">
      <c r="A182" t="str">
        <f>IF(B170="","↓",IF(B170="いいえ","↓（レンタル・リース料２の変更理由）",IF(B172="","↓（レンタル・リース料２の変更理由）",IF(B172="はい","レンタル・リース料２の変更理由","レンタル・リース料２の変更理由"))))</f>
        <v>↓</v>
      </c>
      <c r="B182" s="574"/>
      <c r="C182" t="str">
        <f>IF(B172="いいえ","←"&amp;収支予算書!G47&amp;"の変更理由を記入してください","")</f>
        <v/>
      </c>
    </row>
    <row r="183" spans="1:3" ht="35.4" customHeight="1" x14ac:dyDescent="0.45">
      <c r="A183" t="str">
        <f>IF(B170="","↓",IF(B170="いいえ","↓（レンタル・リース料３の支出内容）",IF(B173="","↓（レンタル・リース料３の支出内容）",IF(B173="はい","レンタル・リース料３の支出内容","↓（レンタル・リース料３の支出内容）"))))</f>
        <v>↓</v>
      </c>
      <c r="B183" s="574" t="str">
        <f>IF(B173="はい", 収支予算書!G48,"")</f>
        <v/>
      </c>
      <c r="C183" t="s">
        <v>335</v>
      </c>
    </row>
    <row r="184" spans="1:3" ht="35.4" customHeight="1" x14ac:dyDescent="0.45">
      <c r="A184" t="str">
        <f>IF(B170="","↓",IF(B170="いいえ","↓（レンタル・リース料３の単価（税込））",IF(B173="","↓（レンタル・リース料３の単価（税込））",IF(B173="はい","レンタル・リース料３の単価（税込）","↓（レンタル・リース料３の単価（税込））"))))</f>
        <v>↓</v>
      </c>
      <c r="B184" s="574" t="str">
        <f>IF(B173="はい", 収支予算書!H48,"")</f>
        <v/>
      </c>
      <c r="C184" t="s">
        <v>335</v>
      </c>
    </row>
    <row r="185" spans="1:3" ht="35.4" customHeight="1" x14ac:dyDescent="0.45">
      <c r="A185" t="str">
        <f>IF(B170="","↓",IF(B170="いいえ","↓（レンタル・リース料３の数量）",IF(B173="","↓（レンタル・リース料３の数量）",IF(B173="はい","レンタル・リース料３の数量","↓（レンタル・リース料３の数量）"))))</f>
        <v>↓</v>
      </c>
      <c r="B185" s="574" t="str">
        <f>IF(B173="はい", 収支予算書!I48,"")</f>
        <v/>
      </c>
      <c r="C185" t="s">
        <v>336</v>
      </c>
    </row>
    <row r="186" spans="1:3" ht="35.4" customHeight="1" x14ac:dyDescent="0.45">
      <c r="A186" t="str">
        <f>IF(B170="","↓",IF(B170="いいえ","↓（レンタル・リース料３の変更理由）",IF(B173="","↓（レンタル・リース料３の変更理由）",IF(B173="はい","レンタル・リース料３の変更理由","レンタル・リース料３の変更理由"))))</f>
        <v>↓</v>
      </c>
      <c r="B186" s="574"/>
      <c r="C186" t="str">
        <f>IF(B173="いいえ","←"&amp;収支予算書!G48&amp;"の変更理由を記入してください","")</f>
        <v/>
      </c>
    </row>
    <row r="187" spans="1:3" ht="35.4" customHeight="1" x14ac:dyDescent="0.45">
      <c r="A187" t="str">
        <f>IF(B170="","↓",IF(B170="いいえ","↓（レンタル・リース料４の支出内容）",IF(B174="","↓（レンタル・リース料４の支出内容）",IF(B174="はい","レンタル・リース料４の支出内容","↓（レンタル・リース料４の支出内容）"))))</f>
        <v>↓</v>
      </c>
      <c r="B187" s="574" t="str">
        <f>IF(B174="はい", 収支予算書!G49,"")</f>
        <v/>
      </c>
      <c r="C187" t="s">
        <v>335</v>
      </c>
    </row>
    <row r="188" spans="1:3" ht="35.4" customHeight="1" x14ac:dyDescent="0.45">
      <c r="A188" t="str">
        <f>IF(B170="","↓",IF(B170="いいえ","↓（レンタル・リース料４の単価（税込））",IF(B174="","↓（レンタル・リース料４の単価（税込））",IF(B174="はい","レンタル・リース料４の単価（税込）","↓（レンタル・リース料４の単価（税込））"))))</f>
        <v>↓</v>
      </c>
      <c r="B188" s="574" t="str">
        <f>IF(B174="はい", 収支予算書!H49,"")</f>
        <v/>
      </c>
      <c r="C188" t="s">
        <v>335</v>
      </c>
    </row>
    <row r="189" spans="1:3" ht="35.4" customHeight="1" x14ac:dyDescent="0.45">
      <c r="A189" t="str">
        <f>IF(B170="","↓",IF(B170="いいえ","↓（レンタル・リース料４の数量）",IF(B174="","↓（レンタル・リース料４の数量）",IF(B174="はい","レンタル・リース料４の数量","↓（レンタル・リース料４の数量）"))))</f>
        <v>↓</v>
      </c>
      <c r="B189" s="574" t="str">
        <f>IF(B174="はい", 収支予算書!I49,"")</f>
        <v/>
      </c>
      <c r="C189" t="s">
        <v>336</v>
      </c>
    </row>
    <row r="190" spans="1:3" ht="35.4" customHeight="1" x14ac:dyDescent="0.45">
      <c r="A190" t="str">
        <f>IF(B170="","↓",IF(B170="いいえ","↓（レンタル・リース料４の変更理由）",IF(B174="","↓（レンタル・リース料４の変更理由）",IF(B174="はい","レンタル・リース料４の変更理由","レンタル・リース料４の変更理由"))))</f>
        <v>↓</v>
      </c>
      <c r="B190" s="574"/>
      <c r="C190" t="str">
        <f>IF(B174="いいえ","←"&amp;収支予算書!G49&amp;"の変更理由を記入してください","")</f>
        <v/>
      </c>
    </row>
    <row r="191" spans="1:3" ht="35.4" customHeight="1" x14ac:dyDescent="0.45">
      <c r="A191" t="s">
        <v>180</v>
      </c>
      <c r="B191" s="573"/>
      <c r="C191" t="s">
        <v>28</v>
      </c>
    </row>
    <row r="192" spans="1:3" ht="35.4" customHeight="1" x14ac:dyDescent="0.45">
      <c r="A192" s="114" t="str">
        <f>IF(B191="はい",IF(入力フォーム!B251="","↓", "収支予算書に計上された「"&amp;入力フォーム!B251&amp;"」の支出はありますか"),IF(B191="いいえ","↓","↓"))</f>
        <v>↓</v>
      </c>
      <c r="B192" s="574"/>
      <c r="C192" t="s">
        <v>28</v>
      </c>
    </row>
    <row r="193" spans="1:4" ht="35.4" customHeight="1" x14ac:dyDescent="0.45">
      <c r="A193" s="114" t="str">
        <f>IF(B191="はい",IF(入力フォーム!B254="","↓", "収支予算書に計上された「"&amp;入力フォーム!B254&amp;"」の支出はありますか"),IF(B191="いいえ","↓","↓"))</f>
        <v>↓</v>
      </c>
      <c r="B193" s="574"/>
      <c r="C193" t="s">
        <v>28</v>
      </c>
    </row>
    <row r="194" spans="1:4" ht="35.4" customHeight="1" x14ac:dyDescent="0.45">
      <c r="A194" s="114" t="str">
        <f>IF(B191="はい",IF(入力フォーム!B257="","↓", "収支予算書に計上された「"&amp;入力フォーム!B257&amp;"」の支出はありますか"),IF(B191="いいえ","↓","↓"))</f>
        <v>↓</v>
      </c>
      <c r="B194" s="574"/>
      <c r="C194" t="s">
        <v>28</v>
      </c>
    </row>
    <row r="195" spans="1:4" ht="35.4" customHeight="1" x14ac:dyDescent="0.45">
      <c r="A195" s="114" t="str">
        <f>IF(B191="はい",IF(入力フォーム!B260="","↓", "収支予算書に計上された「"&amp;入力フォーム!B260&amp;"」の支出はありますか"),IF(B191="いいえ","↓","↓"))</f>
        <v>↓</v>
      </c>
      <c r="B195" s="574"/>
      <c r="C195" t="s">
        <v>28</v>
      </c>
    </row>
    <row r="196" spans="1:4" ht="35.4" customHeight="1" x14ac:dyDescent="0.45">
      <c r="A196" s="13" t="str">
        <f>IF(B191="","↓",IF(B191="いいえ","↓（助成対象外経費１の支出内容）",IF(B192="","↓（助成対象外経費１の支出内容）",IF(B192="はい","助成対象外経費１の支出内容","↓（助成対象外経費１の支出内容）"))))</f>
        <v>↓</v>
      </c>
      <c r="B196" s="574" t="str">
        <f>IF(B192="はい", 収支予算書!G51,"")</f>
        <v/>
      </c>
      <c r="C196" t="s">
        <v>335</v>
      </c>
    </row>
    <row r="197" spans="1:4" ht="35.4" customHeight="1" x14ac:dyDescent="0.45">
      <c r="A197" t="str">
        <f>IF(B191="","↓",IF(B191="いいえ","↓（助成対象外経費１の単価（税込））",IF(B192="","↓（助成対象外経費１の単価（税込））",IF(B192="はい","助成対象外経費１の単価（税込）","↓（助成対象外経費１の単価（税込））"))))</f>
        <v>↓</v>
      </c>
      <c r="B197" s="574" t="str">
        <f>IF(B192="はい", 収支予算書!H51,"")</f>
        <v/>
      </c>
      <c r="C197" t="s">
        <v>335</v>
      </c>
      <c r="D197" t="str">
        <f>IFERROR(B197*IF(B198="一式",1,B198),"")</f>
        <v/>
      </c>
    </row>
    <row r="198" spans="1:4" ht="35.4" customHeight="1" x14ac:dyDescent="0.45">
      <c r="A198" t="str">
        <f>IF(B191="","↓",IF(B191="いいえ","↓（助成対象外経費１の数量）",IF(B192="","↓（助成対象外経費１の数量）",IF(B192="はい","助成対象外経費１の数量","↓（助成対象外経費１の数量）"))))</f>
        <v>↓</v>
      </c>
      <c r="B198" s="574" t="str">
        <f>IF(B192="はい", 収支予算書!I51,"")</f>
        <v/>
      </c>
      <c r="C198" t="s">
        <v>336</v>
      </c>
    </row>
    <row r="199" spans="1:4" ht="35.4" customHeight="1" x14ac:dyDescent="0.45">
      <c r="A199" t="str">
        <f>IF(B191="","↓",IF(B191="いいえ","↓（助成対象外経費２の支出内容）",IF(B193="","↓（助成対象外経費２の支出内容）",IF(B193="はい","助成対象外経費２の支出内容","↓（助成対象外経費２の支出内容）"))))</f>
        <v>↓</v>
      </c>
      <c r="B199" s="574" t="str">
        <f>IF(B193="はい", 収支予算書!G52,"")</f>
        <v/>
      </c>
      <c r="C199" t="s">
        <v>335</v>
      </c>
    </row>
    <row r="200" spans="1:4" ht="35.4" customHeight="1" x14ac:dyDescent="0.45">
      <c r="A200" t="str">
        <f>IF(B191="","↓",IF(B191="いいえ","↓（助成対象外経費２の単価（税込））",IF(B193="","↓（助成対象外経費２の単価（税込））",IF(B193="はい","助成対象外経費２の単価（税込）","↓（助成対象外経費２の単価（税込））"))))</f>
        <v>↓</v>
      </c>
      <c r="B200" s="574" t="str">
        <f>IF(B193="はい", 収支予算書!H52,"")</f>
        <v/>
      </c>
      <c r="C200" t="s">
        <v>335</v>
      </c>
      <c r="D200" t="str">
        <f>IFERROR(B200*IF(B201="一式",1,B201),"")</f>
        <v/>
      </c>
    </row>
    <row r="201" spans="1:4" ht="35.4" customHeight="1" x14ac:dyDescent="0.45">
      <c r="A201" t="str">
        <f>IF(B191="","↓",IF(B191="いいえ","↓（助成対象外経費２の数量）",IF(B193="","↓（助成対象外経費２の数量）",IF(B193="はい","助成対象外経費２の数量","↓（助成対象外経費２の数量）"))))</f>
        <v>↓</v>
      </c>
      <c r="B201" s="574" t="str">
        <f>IF(B193="はい", 収支予算書!I52,"")</f>
        <v/>
      </c>
      <c r="C201" t="s">
        <v>336</v>
      </c>
    </row>
    <row r="202" spans="1:4" ht="35.4" customHeight="1" x14ac:dyDescent="0.45">
      <c r="A202" t="str">
        <f>IF(B191="","↓",IF(B191="いいえ","↓（助成対象外経費３の支出内容）",IF(B194="","↓（助成対象外経費３の支出内容）",IF(B194="はい","助成対象外経費３の支出内容","↓（助成対象外経費３の支出内容）"))))</f>
        <v>↓</v>
      </c>
      <c r="B202" s="574" t="str">
        <f>IF(B194="はい", 収支予算書!G53,"")</f>
        <v/>
      </c>
      <c r="C202" t="s">
        <v>335</v>
      </c>
    </row>
    <row r="203" spans="1:4" ht="35.4" customHeight="1" x14ac:dyDescent="0.45">
      <c r="A203" t="str">
        <f>IF(B191="","↓",IF(B191="いいえ","↓（助成対象外経費３の単価（税込））",IF(B194="","↓（助成対象外経費３の単価（税込））",IF(B194="はい","助成対象外経費３の単価（税込）","↓（助成対象外経費３の単価（税込））"))))</f>
        <v>↓</v>
      </c>
      <c r="B203" s="574" t="str">
        <f>IF(B194="はい", 収支予算書!H53,"")</f>
        <v/>
      </c>
      <c r="C203" t="s">
        <v>335</v>
      </c>
      <c r="D203" t="str">
        <f>IFERROR(B203*IF(B204="一式",1,B204),"")</f>
        <v/>
      </c>
    </row>
    <row r="204" spans="1:4" ht="35.4" customHeight="1" x14ac:dyDescent="0.45">
      <c r="A204" t="str">
        <f>IF(B191="","↓",IF(B191="いいえ","↓（助成対象外経費３の数量）",IF(B194="","↓（助成対象外経費３の数量）",IF(B194="はい","助成対象外経費３の数量","↓（助成対象外経費３の数量）"))))</f>
        <v>↓</v>
      </c>
      <c r="B204" s="574" t="str">
        <f>IF(B194="はい", 収支予算書!I53,"")</f>
        <v/>
      </c>
      <c r="C204" t="s">
        <v>336</v>
      </c>
    </row>
    <row r="205" spans="1:4" ht="35.4" customHeight="1" x14ac:dyDescent="0.45">
      <c r="A205" t="str">
        <f>IF(B191="","↓",IF(B191="いいえ","↓（助成対象外経費４の支出内容）",IF(B195="","↓（助成対象外経費４の支出内容）",IF(B195="はい","助成対象外経費４の支出内容","↓（助成対象外経費４の支出内容）"))))</f>
        <v>↓</v>
      </c>
      <c r="B205" s="574" t="str">
        <f>IF(B195="はい", 収支予算書!G54,"")</f>
        <v/>
      </c>
      <c r="C205" t="s">
        <v>335</v>
      </c>
    </row>
    <row r="206" spans="1:4" ht="35.4" customHeight="1" x14ac:dyDescent="0.45">
      <c r="A206" t="str">
        <f>IF(B191="","↓",IF(B191="いいえ","↓（助成対象外経費４の単価（税込））",IF(B195="","↓（助成対象外経費４の単価（税込））",IF(B195="はい","助成対象外経費４の単価（税込）","↓（助成対象外経費４の単価（税込））"))))</f>
        <v>↓</v>
      </c>
      <c r="B206" s="574" t="str">
        <f>IF(B195="はい", 収支予算書!H54,"")</f>
        <v/>
      </c>
      <c r="C206" t="s">
        <v>335</v>
      </c>
      <c r="D206" t="str">
        <f>IFERROR(B206*IF(B207="一式",1,B207),"")</f>
        <v/>
      </c>
    </row>
    <row r="207" spans="1:4" ht="35.4" customHeight="1" x14ac:dyDescent="0.45">
      <c r="A207" t="str">
        <f>IF(B191="","↓",IF(B191="いいえ","↓（助成対象外経費４の数量）",IF(B195="","↓（助成対象外経費４の数量）",IF(B195="はい","助成対象外経費４の数量","↓（助成対象外経費４の数量）"))))</f>
        <v>↓</v>
      </c>
      <c r="B207" s="574" t="str">
        <f>IF(B195="はい", 収支予算書!I54,"")</f>
        <v/>
      </c>
      <c r="C207" t="s">
        <v>336</v>
      </c>
    </row>
    <row r="208" spans="1:4" ht="35.4" customHeight="1" x14ac:dyDescent="0.45">
      <c r="A208" s="13" t="s">
        <v>276</v>
      </c>
      <c r="B208" s="573"/>
      <c r="C208" t="s">
        <v>28</v>
      </c>
    </row>
    <row r="209" spans="1:5" ht="35.4" customHeight="1" x14ac:dyDescent="0.45">
      <c r="A209" s="114" t="str">
        <f>IF(B208="はい",IF(入力フォーム!B264="","↓", "収支予算書に計上された「"&amp;入力フォーム!B264&amp;"」の支出はありますか"),IF(B208="いいえ","↓","↓"))</f>
        <v>↓</v>
      </c>
      <c r="B209" s="574"/>
      <c r="C209" t="s">
        <v>28</v>
      </c>
    </row>
    <row r="210" spans="1:5" ht="35.4" customHeight="1" x14ac:dyDescent="0.45">
      <c r="A210" s="13" t="str">
        <f>IF(B208="","↓",IF(B208="いいえ","↓（助成金以外の収入の種類）","助成金以外の収入の種類（例：寄付金）"))</f>
        <v>↓</v>
      </c>
      <c r="B210" s="574" t="str">
        <f>IF(B209="はい", 収支予算書!G11,"")</f>
        <v/>
      </c>
      <c r="C210" t="s">
        <v>335</v>
      </c>
    </row>
    <row r="211" spans="1:5" ht="35.4" customHeight="1" x14ac:dyDescent="0.45">
      <c r="A211" t="str">
        <f>IF(B208="","↓",IF(B208="いいえ","↓（助成金以外の収入の金額）","助成金以外の収入の金額"))</f>
        <v>↓</v>
      </c>
      <c r="B211" s="574" t="str">
        <f>IF(B209="はい", 入力フォーム!B265,"")</f>
        <v/>
      </c>
      <c r="C211" t="s">
        <v>335</v>
      </c>
    </row>
    <row r="212" spans="1:5" x14ac:dyDescent="0.45">
      <c r="A212" s="118" t="s">
        <v>83</v>
      </c>
      <c r="B212" s="237">
        <f>IF(B3="都町連",2000000,IF(B3="町自連",2000000,IF(B3="地区連",1000000,IF(入力フォーム!B22="Ｃ　複数の単一町会・自治会が共同して実施する取組",500000,IF(入力フォーム!B22="Ｄ　単一の町会・自治会が他の地域団体と連携して実施する取組",300000,IF(B3="単一",200000,""))))))</f>
        <v>500000</v>
      </c>
    </row>
    <row r="213" spans="1:5" x14ac:dyDescent="0.45">
      <c r="A213" s="118" t="s">
        <v>84</v>
      </c>
      <c r="B213" s="237" t="str">
        <f>積算明細書!M42</f>
        <v/>
      </c>
    </row>
    <row r="214" spans="1:5" x14ac:dyDescent="0.45">
      <c r="A214" s="118" t="s">
        <v>85</v>
      </c>
      <c r="B214" s="237" t="str">
        <f>IFERROR((B213+SUM(D197,D200,D203,D206)),"")</f>
        <v/>
      </c>
    </row>
    <row r="215" spans="1:5" x14ac:dyDescent="0.45">
      <c r="A215" s="118" t="s">
        <v>86</v>
      </c>
      <c r="B215" s="237" t="str">
        <f>IFERROR(B214-IF(B211="",0,B211)-B216,"")</f>
        <v/>
      </c>
    </row>
    <row r="216" spans="1:5" x14ac:dyDescent="0.45">
      <c r="A216" s="117" t="s">
        <v>87</v>
      </c>
      <c r="B216" s="237" t="str">
        <f>IFERROR(IF(B214-E216&gt;IF(B211="",0,B211),E216,ROUNDDOWN(B214-IF(B211="",0,B211),-3)),"")</f>
        <v/>
      </c>
      <c r="E216" s="55" t="str">
        <f>IFERROR(IF(ROUNDDOWN(B213*入力フォーム!B23,-3)&gt;B212,B212,ROUNDDOWN(B213*入力フォーム!B23,-3)),"")</f>
        <v/>
      </c>
    </row>
  </sheetData>
  <dataConsolidate/>
  <phoneticPr fontId="1"/>
  <conditionalFormatting sqref="A2:A18 A20:A216">
    <cfRule type="containsText" dxfId="68" priority="785" operator="containsText" text="↓">
      <formula>NOT(ISERROR(SEARCH("↓",A2)))</formula>
    </cfRule>
    <cfRule type="containsBlanks" dxfId="67" priority="786">
      <formula>LEN(TRIM(A2))=0</formula>
    </cfRule>
  </conditionalFormatting>
  <conditionalFormatting sqref="B22:B29">
    <cfRule type="expression" dxfId="66" priority="229">
      <formula>A22="↓"</formula>
    </cfRule>
  </conditionalFormatting>
  <conditionalFormatting sqref="B26:B41">
    <cfRule type="expression" dxfId="65" priority="236">
      <formula>COUNTIF($A26,"*↓*")</formula>
    </cfRule>
  </conditionalFormatting>
  <conditionalFormatting sqref="B43:B127">
    <cfRule type="expression" dxfId="64" priority="124">
      <formula>COUNTIF($A43,"*↓*")</formula>
    </cfRule>
  </conditionalFormatting>
  <conditionalFormatting sqref="B129:B148">
    <cfRule type="expression" dxfId="63" priority="104">
      <formula>COUNTIF($A129,"*↓*")</formula>
    </cfRule>
  </conditionalFormatting>
  <conditionalFormatting sqref="B150:B169">
    <cfRule type="expression" dxfId="62" priority="82">
      <formula>COUNTIF($A150,"*↓*")</formula>
    </cfRule>
  </conditionalFormatting>
  <conditionalFormatting sqref="B171:B190">
    <cfRule type="expression" dxfId="61" priority="42">
      <formula>COUNTIF($A171,"*↓*")</formula>
    </cfRule>
  </conditionalFormatting>
  <conditionalFormatting sqref="B192:B207">
    <cfRule type="expression" dxfId="60" priority="6">
      <formula>COUNTIF($A192,"*↓*")</formula>
    </cfRule>
  </conditionalFormatting>
  <conditionalFormatting sqref="B209:B211">
    <cfRule type="expression" dxfId="59" priority="3">
      <formula>COUNTIF($A209,"*↓*")</formula>
    </cfRule>
  </conditionalFormatting>
  <conditionalFormatting sqref="C29 C33 C37 C41 C63 C67 C71 C75 C79 C83 C87 C91 C95 C99 C103 C107 C111 C115 C119 C123 C127 C136 C140 C144 C148 C157 C161 C165 C169 C178 C182 C186 C190">
    <cfRule type="containsText" dxfId="58" priority="784" operator="containsText" text="←">
      <formula>NOT(ISERROR(SEARCH("←",C29)))</formula>
    </cfRule>
  </conditionalFormatting>
  <conditionalFormatting sqref="A19">
    <cfRule type="containsText" dxfId="13" priority="1" operator="containsText" text="↓">
      <formula>NOT(ISERROR(SEARCH("↓",A19)))</formula>
    </cfRule>
    <cfRule type="containsBlanks" dxfId="12" priority="2">
      <formula>LEN(TRIM(A19))=0</formula>
    </cfRule>
  </conditionalFormatting>
  <dataValidations count="4">
    <dataValidation type="list" allowBlank="1" showInputMessage="1" showErrorMessage="1" sqref="B170:B174 B191:B195 B21:B25 B42:B59 B128:B132 B149:B153 B208:B209" xr:uid="{00000000-0002-0000-0400-000000000000}">
      <formula1>"はい,いいえ"</formula1>
    </dataValidation>
    <dataValidation type="list" allowBlank="1" showInputMessage="1" showErrorMessage="1" sqref="B3" xr:uid="{00000000-0002-0000-0400-000001000000}">
      <formula1>"単一,地区連,町自連,都町連"</formula1>
    </dataValidation>
    <dataValidation type="list" allowBlank="1" sqref="B18" xr:uid="{00000000-0002-0000-0400-000002000000}">
      <formula1>"事業の中止,事業の縮小,事業の内容変更,事業に要する経費の配分変更,交付申請の取下げ"</formula1>
    </dataValidation>
    <dataValidation type="list" allowBlank="1" showInputMessage="1" sqref="B20" xr:uid="{00000000-0002-0000-0400-000003000000}">
      <formula1>"あり（別添のとおり）,なし（経費の変更なし）,なし（支出０円）"</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5:G50"/>
  <sheetViews>
    <sheetView view="pageBreakPreview" topLeftCell="A11" zoomScaleNormal="100" zoomScaleSheetLayoutView="100" workbookViewId="0">
      <selection activeCell="A24" sqref="A24:F24"/>
    </sheetView>
  </sheetViews>
  <sheetFormatPr defaultRowHeight="13.2" x14ac:dyDescent="0.45"/>
  <cols>
    <col min="1" max="1" width="3.19921875" style="8" customWidth="1"/>
    <col min="2" max="2" width="9.796875" style="8" customWidth="1"/>
    <col min="3" max="3" width="30.296875" style="8" customWidth="1"/>
    <col min="4" max="4" width="10.3984375" style="8" customWidth="1"/>
    <col min="5" max="5" width="30.8984375" style="8" customWidth="1"/>
    <col min="6" max="6" width="2.69921875" style="8" customWidth="1"/>
    <col min="7" max="10" width="9.5" style="8" customWidth="1"/>
    <col min="11" max="16384" width="8.796875" style="8"/>
  </cols>
  <sheetData>
    <row r="5" spans="1:7" x14ac:dyDescent="0.45">
      <c r="A5" s="7"/>
      <c r="B5" s="7"/>
    </row>
    <row r="6" spans="1:7" ht="14.4" x14ac:dyDescent="0.45">
      <c r="A6" s="254" t="s">
        <v>149</v>
      </c>
      <c r="B6" s="9"/>
    </row>
    <row r="8" spans="1:7" ht="14.4" x14ac:dyDescent="0.45">
      <c r="F8" s="71" t="s">
        <v>5</v>
      </c>
    </row>
    <row r="9" spans="1:7" ht="14.4" x14ac:dyDescent="0.45">
      <c r="A9" s="69" t="s">
        <v>1</v>
      </c>
    </row>
    <row r="10" spans="1:7" ht="15" thickBot="1" x14ac:dyDescent="0.5">
      <c r="D10" s="69"/>
      <c r="E10" s="69"/>
    </row>
    <row r="11" spans="1:7" ht="26.4" customHeight="1" thickBot="1" x14ac:dyDescent="0.5">
      <c r="B11" s="270" t="s">
        <v>10</v>
      </c>
      <c r="C11" s="328" t="str">
        <f>変更申請入力フォーム!B2&amp;""</f>
        <v/>
      </c>
      <c r="D11" s="268" t="s">
        <v>196</v>
      </c>
      <c r="E11" s="317" t="str">
        <f>変更申請入力フォーム!B6&amp;"　"&amp;変更申請入力フォーム!B7</f>
        <v>　</v>
      </c>
      <c r="F11" s="267" t="s">
        <v>282</v>
      </c>
      <c r="G11" s="8" t="s">
        <v>27</v>
      </c>
    </row>
    <row r="12" spans="1:7" ht="13.2" customHeight="1" x14ac:dyDescent="0.45">
      <c r="B12" s="462" t="s">
        <v>11</v>
      </c>
      <c r="C12" s="272" t="str">
        <f>IF(変更申請入力フォーム!B4="", "〒", 変更申請入力フォーム!B4)</f>
        <v>〒</v>
      </c>
      <c r="D12" s="369" t="s">
        <v>12</v>
      </c>
      <c r="E12" s="343" t="str">
        <f>変更申請入力フォーム!B8&amp;""</f>
        <v/>
      </c>
      <c r="F12" s="344"/>
      <c r="G12" s="8" t="s">
        <v>27</v>
      </c>
    </row>
    <row r="13" spans="1:7" ht="13.2" customHeight="1" x14ac:dyDescent="0.45">
      <c r="B13" s="371"/>
      <c r="C13" s="279" t="str">
        <f>変更申請入力フォーム!B5&amp;""</f>
        <v/>
      </c>
      <c r="D13" s="372"/>
      <c r="E13" s="349"/>
      <c r="F13" s="350"/>
    </row>
    <row r="14" spans="1:7" ht="6.6" customHeight="1" x14ac:dyDescent="0.45">
      <c r="B14" s="271"/>
      <c r="C14" s="262"/>
      <c r="D14" s="262"/>
      <c r="E14" s="262"/>
      <c r="F14" s="262"/>
    </row>
    <row r="15" spans="1:7" ht="13.2" customHeight="1" x14ac:dyDescent="0.45">
      <c r="B15" s="461" t="s">
        <v>201</v>
      </c>
      <c r="C15" s="461"/>
      <c r="D15" s="461"/>
      <c r="E15" s="461"/>
      <c r="F15" s="461"/>
    </row>
    <row r="16" spans="1:7" ht="26.4" customHeight="1" x14ac:dyDescent="0.45">
      <c r="B16" s="275" t="s">
        <v>197</v>
      </c>
      <c r="C16" s="305" t="str">
        <f>変更申請入力フォーム!B9&amp;""</f>
        <v/>
      </c>
      <c r="D16" s="241" t="s">
        <v>200</v>
      </c>
      <c r="E16" s="333" t="str">
        <f>変更申請入力フォーム!B10&amp;""</f>
        <v/>
      </c>
      <c r="F16" s="334"/>
      <c r="G16" s="8" t="s">
        <v>27</v>
      </c>
    </row>
    <row r="17" spans="1:7" ht="12.6" customHeight="1" x14ac:dyDescent="0.45">
      <c r="B17" s="377" t="s">
        <v>198</v>
      </c>
      <c r="C17" s="273" t="str">
        <f>IF(変更申請入力フォーム!B11="", "〒", 変更申請入力フォーム!B11)</f>
        <v>〒</v>
      </c>
      <c r="D17" s="378" t="s">
        <v>212</v>
      </c>
      <c r="E17" s="351" t="str">
        <f>IF(AND(変更申請入力フォーム!B13&lt;&gt;"",変更申請入力フォーム!B14&lt;&gt;""),"①"&amp;変更申請入力フォーム!B13&amp;"/②"&amp;変更申請入力フォーム!B14,IF(AND(変更申請入力フォーム!B13&lt;&gt;"",変更申請入力フォーム!B14=""),"①"&amp;変更申請入力フォーム!B13,IF(AND(変更申請入力フォーム!B13="",変更申請入力フォーム!B14&lt;&gt;""),"②"&amp;変更申請入力フォーム!B14,"①　　　　　         　　　　　　　　　②")))</f>
        <v>①　　　　　         　　　　　　　　　②</v>
      </c>
      <c r="F17" s="352"/>
    </row>
    <row r="18" spans="1:7" ht="22.2" customHeight="1" x14ac:dyDescent="0.45">
      <c r="B18" s="379"/>
      <c r="C18" s="329" t="str">
        <f>変更申請入力フォーム!B12&amp;""</f>
        <v/>
      </c>
      <c r="D18" s="372"/>
      <c r="E18" s="353"/>
      <c r="F18" s="354"/>
      <c r="G18" s="8" t="s">
        <v>27</v>
      </c>
    </row>
    <row r="19" spans="1:7" ht="22.8" customHeight="1" x14ac:dyDescent="0.45">
      <c r="B19" s="276" t="s">
        <v>205</v>
      </c>
      <c r="C19" s="274" t="str">
        <f>変更申請入力フォーム!B15&amp;""</f>
        <v/>
      </c>
      <c r="D19" s="268" t="s">
        <v>199</v>
      </c>
      <c r="E19" s="347" t="str">
        <f>変更申請入力フォーム!B16&amp;""</f>
        <v/>
      </c>
      <c r="F19" s="348"/>
      <c r="G19" s="8" t="s">
        <v>27</v>
      </c>
    </row>
    <row r="20" spans="1:7" ht="13.2" customHeight="1" x14ac:dyDescent="0.45">
      <c r="C20" s="463" t="s">
        <v>19</v>
      </c>
      <c r="D20" s="463"/>
      <c r="E20" s="463"/>
      <c r="F20" s="463"/>
    </row>
    <row r="22" spans="1:7" ht="14.4" x14ac:dyDescent="0.45">
      <c r="A22" s="10" t="s">
        <v>150</v>
      </c>
      <c r="B22" s="10"/>
      <c r="C22" s="11"/>
      <c r="D22" s="11"/>
      <c r="E22" s="11"/>
      <c r="F22" s="11"/>
    </row>
    <row r="24" spans="1:7" ht="14.4" x14ac:dyDescent="0.45">
      <c r="A24" s="466" t="str">
        <f>IF(変更申請入力フォーム!B17="","令和　　年　　月　　日付けで令和７年度地域の底力発展事業助成金の交付決定を受けた事業",DBCS(TEXT(変更申請入力フォーム!B17,"ggge年m月d日"))&amp;"付けで令和７年度地域の底力発展事業助成金の交付決定を受けた事業")</f>
        <v>令和　　年　　月　　日付けで令和７年度地域の底力発展事業助成金の交付決定を受けた事業</v>
      </c>
      <c r="B24" s="466"/>
      <c r="C24" s="466"/>
      <c r="D24" s="466"/>
      <c r="E24" s="466"/>
      <c r="F24" s="466"/>
    </row>
    <row r="25" spans="1:7" ht="14.4" x14ac:dyDescent="0.45">
      <c r="A25" s="69" t="s">
        <v>188</v>
      </c>
    </row>
    <row r="26" spans="1:7" ht="14.4" x14ac:dyDescent="0.45">
      <c r="A26" s="69" t="s">
        <v>189</v>
      </c>
    </row>
    <row r="29" spans="1:7" ht="14.4" x14ac:dyDescent="0.45">
      <c r="A29" s="10" t="s">
        <v>4</v>
      </c>
      <c r="B29" s="11"/>
      <c r="C29" s="10"/>
      <c r="D29" s="11"/>
      <c r="E29" s="11"/>
      <c r="F29" s="11"/>
    </row>
    <row r="30" spans="1:7" ht="14.4" x14ac:dyDescent="0.45">
      <c r="A30" s="69"/>
      <c r="B30" s="69"/>
      <c r="C30" s="69"/>
      <c r="D30" s="69"/>
      <c r="E30" s="69"/>
      <c r="F30" s="69"/>
    </row>
    <row r="31" spans="1:7" ht="14.4" x14ac:dyDescent="0.45">
      <c r="A31" s="247" t="s">
        <v>6</v>
      </c>
      <c r="B31" s="240" t="s">
        <v>151</v>
      </c>
      <c r="C31" s="69"/>
      <c r="D31" s="69"/>
      <c r="E31" s="69"/>
      <c r="F31" s="69"/>
      <c r="G31" s="8" t="s">
        <v>27</v>
      </c>
    </row>
    <row r="32" spans="1:7" ht="14.4" x14ac:dyDescent="0.45">
      <c r="A32" s="247"/>
      <c r="B32" s="465" t="s">
        <v>302</v>
      </c>
      <c r="C32" s="465"/>
      <c r="D32" s="465"/>
      <c r="E32" s="465"/>
      <c r="F32" s="465"/>
    </row>
    <row r="33" spans="1:7" ht="14.4" x14ac:dyDescent="0.45">
      <c r="A33" s="247"/>
      <c r="B33" s="69"/>
      <c r="C33" s="69"/>
      <c r="D33" s="69"/>
      <c r="E33" s="69"/>
      <c r="F33" s="69"/>
    </row>
    <row r="34" spans="1:7" ht="13.2" customHeight="1" x14ac:dyDescent="0.45">
      <c r="A34" s="69"/>
      <c r="B34" s="69"/>
      <c r="C34" s="69"/>
      <c r="D34" s="69"/>
      <c r="E34" s="69"/>
      <c r="F34" s="69"/>
    </row>
    <row r="35" spans="1:7" ht="14.4" x14ac:dyDescent="0.45">
      <c r="A35" s="247" t="s">
        <v>7</v>
      </c>
      <c r="B35" s="240" t="s">
        <v>152</v>
      </c>
      <c r="C35" s="249"/>
      <c r="D35" s="69"/>
      <c r="E35" s="69"/>
      <c r="F35" s="69"/>
      <c r="G35" s="8" t="s">
        <v>27</v>
      </c>
    </row>
    <row r="36" spans="1:7" ht="14.4" x14ac:dyDescent="0.45">
      <c r="A36" s="69"/>
      <c r="B36" s="465" t="str">
        <f>変更申請入力フォーム!B18&amp;""</f>
        <v/>
      </c>
      <c r="C36" s="465"/>
      <c r="D36" s="465"/>
      <c r="E36" s="465"/>
      <c r="F36" s="465"/>
    </row>
    <row r="37" spans="1:7" ht="14.4" x14ac:dyDescent="0.45">
      <c r="A37" s="69"/>
      <c r="B37" s="69"/>
      <c r="C37" s="69"/>
      <c r="D37" s="69"/>
      <c r="E37" s="69"/>
      <c r="F37" s="242"/>
    </row>
    <row r="38" spans="1:7" ht="13.2" customHeight="1" x14ac:dyDescent="0.45">
      <c r="A38" s="69"/>
      <c r="B38" s="69"/>
      <c r="C38" s="69"/>
      <c r="D38" s="69"/>
      <c r="E38" s="69"/>
      <c r="F38" s="69"/>
    </row>
    <row r="39" spans="1:7" ht="14.4" x14ac:dyDescent="0.45">
      <c r="A39" s="247" t="s">
        <v>8</v>
      </c>
      <c r="B39" s="240" t="s">
        <v>153</v>
      </c>
      <c r="C39" s="256"/>
      <c r="D39" s="69"/>
      <c r="E39" s="69"/>
      <c r="F39" s="69"/>
      <c r="G39" s="8" t="s">
        <v>27</v>
      </c>
    </row>
    <row r="40" spans="1:7" ht="14.4" x14ac:dyDescent="0.45">
      <c r="A40" s="247"/>
      <c r="B40" s="464" t="str">
        <f>変更申請入力フォーム!B19&amp;""</f>
        <v/>
      </c>
      <c r="C40" s="464"/>
      <c r="D40" s="464"/>
      <c r="E40" s="464"/>
      <c r="F40" s="464"/>
    </row>
    <row r="41" spans="1:7" ht="14.4" x14ac:dyDescent="0.45">
      <c r="A41" s="247"/>
      <c r="B41" s="464"/>
      <c r="C41" s="464"/>
      <c r="D41" s="464"/>
      <c r="E41" s="464"/>
      <c r="F41" s="464"/>
    </row>
    <row r="42" spans="1:7" ht="13.2" customHeight="1" x14ac:dyDescent="0.45">
      <c r="A42" s="69"/>
      <c r="B42" s="69"/>
      <c r="C42" s="69"/>
      <c r="D42" s="69"/>
      <c r="E42" s="69"/>
      <c r="F42" s="69"/>
    </row>
    <row r="43" spans="1:7" ht="14.4" x14ac:dyDescent="0.45">
      <c r="A43" s="247" t="s">
        <v>9</v>
      </c>
      <c r="B43" s="240" t="s">
        <v>154</v>
      </c>
      <c r="C43" s="242"/>
      <c r="D43" s="69"/>
      <c r="E43" s="69"/>
      <c r="F43" s="69"/>
      <c r="G43" s="8" t="s">
        <v>27</v>
      </c>
    </row>
    <row r="44" spans="1:7" ht="14.4" x14ac:dyDescent="0.45">
      <c r="A44" s="69"/>
      <c r="B44" s="465" t="str">
        <f>変更申請入力フォーム!B20&amp;""</f>
        <v/>
      </c>
      <c r="C44" s="465"/>
      <c r="D44" s="465"/>
      <c r="E44" s="465"/>
      <c r="F44" s="465"/>
    </row>
    <row r="47" spans="1:7" x14ac:dyDescent="0.45">
      <c r="A47" s="16"/>
      <c r="B47" s="17"/>
    </row>
    <row r="48" spans="1:7" x14ac:dyDescent="0.45">
      <c r="C48" s="155"/>
    </row>
    <row r="49" spans="2:3" x14ac:dyDescent="0.45">
      <c r="C49" s="155"/>
    </row>
    <row r="50" spans="2:3" x14ac:dyDescent="0.45">
      <c r="B50" s="12"/>
    </row>
  </sheetData>
  <dataConsolidate/>
  <mergeCells count="15">
    <mergeCell ref="C20:F20"/>
    <mergeCell ref="B40:F41"/>
    <mergeCell ref="B36:F36"/>
    <mergeCell ref="B32:F32"/>
    <mergeCell ref="B44:F44"/>
    <mergeCell ref="A24:F24"/>
    <mergeCell ref="E19:F19"/>
    <mergeCell ref="B17:B18"/>
    <mergeCell ref="D17:D18"/>
    <mergeCell ref="B15:F15"/>
    <mergeCell ref="D12:D13"/>
    <mergeCell ref="B12:B13"/>
    <mergeCell ref="E12:F13"/>
    <mergeCell ref="E16:F16"/>
    <mergeCell ref="E17:F18"/>
  </mergeCells>
  <phoneticPr fontId="1"/>
  <pageMargins left="0.51181102362204722" right="0.51181102362204722" top="0.39370078740157483" bottom="0.39370078740157483" header="0.31496062992125984" footer="0.31496062992125984"/>
  <pageSetup paperSize="9" scale="96" orientation="portrait" r:id="rId1"/>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2"/>
  <sheetViews>
    <sheetView view="pageBreakPreview" zoomScaleNormal="100" zoomScaleSheetLayoutView="100" workbookViewId="0">
      <selection activeCell="L3" sqref="L3:O3"/>
    </sheetView>
  </sheetViews>
  <sheetFormatPr defaultRowHeight="13.2" x14ac:dyDescent="0.45"/>
  <cols>
    <col min="1" max="1" width="1.69921875" style="57" customWidth="1"/>
    <col min="2" max="4" width="2" style="57" customWidth="1"/>
    <col min="5" max="5" width="4.296875" style="57" customWidth="1"/>
    <col min="6" max="6" width="10" style="57" customWidth="1"/>
    <col min="7" max="7" width="21.3984375" style="57" customWidth="1"/>
    <col min="8" max="8" width="8.19921875" style="57" customWidth="1"/>
    <col min="9" max="9" width="6" style="57" customWidth="1"/>
    <col min="10" max="10" width="9.59765625" style="57" customWidth="1"/>
    <col min="11" max="11" width="8.19921875" style="57" customWidth="1"/>
    <col min="12" max="12" width="6" style="57" customWidth="1"/>
    <col min="13" max="13" width="9.59765625" style="57" customWidth="1"/>
    <col min="14" max="14" width="8.796875" style="57"/>
    <col min="15" max="15" width="21" style="57" customWidth="1"/>
    <col min="16" max="16384" width="8.796875" style="57"/>
  </cols>
  <sheetData>
    <row r="1" spans="1:15" ht="6" customHeight="1" x14ac:dyDescent="0.45"/>
    <row r="2" spans="1:15" ht="87" customHeight="1" thickBot="1" x14ac:dyDescent="0.5">
      <c r="B2" s="59" t="s">
        <v>164</v>
      </c>
    </row>
    <row r="3" spans="1:15" ht="27" customHeight="1" thickBot="1" x14ac:dyDescent="0.5">
      <c r="A3" s="59"/>
      <c r="B3" s="59"/>
      <c r="C3" s="59"/>
      <c r="D3" s="59"/>
      <c r="E3" s="59"/>
      <c r="F3" s="59"/>
      <c r="G3" s="112"/>
      <c r="H3" s="156"/>
      <c r="I3" s="470" t="s">
        <v>165</v>
      </c>
      <c r="J3" s="471"/>
      <c r="K3" s="472"/>
      <c r="L3" s="473" t="str">
        <f>変更申請入力フォーム!B2</f>
        <v/>
      </c>
      <c r="M3" s="473"/>
      <c r="N3" s="473"/>
      <c r="O3" s="474"/>
    </row>
    <row r="4" spans="1:15" ht="22.5" customHeight="1" thickBot="1" x14ac:dyDescent="0.5">
      <c r="G4" s="67"/>
    </row>
    <row r="5" spans="1:15" x14ac:dyDescent="0.45">
      <c r="B5" s="475" t="s">
        <v>53</v>
      </c>
      <c r="C5" s="476"/>
      <c r="D5" s="476"/>
      <c r="E5" s="476"/>
      <c r="F5" s="477"/>
      <c r="G5" s="481" t="s">
        <v>54</v>
      </c>
      <c r="H5" s="475" t="s">
        <v>166</v>
      </c>
      <c r="I5" s="476"/>
      <c r="J5" s="483"/>
      <c r="K5" s="475" t="s">
        <v>167</v>
      </c>
      <c r="L5" s="476"/>
      <c r="M5" s="483"/>
      <c r="N5" s="157" t="s">
        <v>168</v>
      </c>
      <c r="O5" s="486" t="s">
        <v>169</v>
      </c>
    </row>
    <row r="6" spans="1:15" x14ac:dyDescent="0.45">
      <c r="B6" s="478"/>
      <c r="C6" s="479"/>
      <c r="D6" s="479"/>
      <c r="E6" s="479"/>
      <c r="F6" s="480"/>
      <c r="G6" s="482"/>
      <c r="H6" s="193" t="s">
        <v>134</v>
      </c>
      <c r="I6" s="158" t="s">
        <v>55</v>
      </c>
      <c r="J6" s="159" t="s">
        <v>170</v>
      </c>
      <c r="K6" s="193" t="s">
        <v>134</v>
      </c>
      <c r="L6" s="158" t="s">
        <v>55</v>
      </c>
      <c r="M6" s="159" t="s">
        <v>170</v>
      </c>
      <c r="N6" s="160" t="s">
        <v>45</v>
      </c>
      <c r="O6" s="487"/>
    </row>
    <row r="7" spans="1:15" ht="18" x14ac:dyDescent="0.45">
      <c r="B7" s="161" t="s">
        <v>56</v>
      </c>
      <c r="G7" s="162"/>
      <c r="H7" s="163"/>
      <c r="I7" s="164"/>
      <c r="J7" s="165"/>
      <c r="K7" s="163"/>
      <c r="L7" s="164"/>
      <c r="M7" s="165"/>
      <c r="N7" s="166"/>
      <c r="O7" s="167"/>
    </row>
    <row r="8" spans="1:15" ht="18" customHeight="1" x14ac:dyDescent="0.45">
      <c r="B8" s="161"/>
      <c r="C8" s="57" t="s">
        <v>171</v>
      </c>
      <c r="G8" s="168"/>
      <c r="H8" s="163"/>
      <c r="I8" s="164"/>
      <c r="J8" s="165"/>
      <c r="K8" s="163"/>
      <c r="L8" s="164"/>
      <c r="M8" s="165"/>
      <c r="N8" s="169"/>
      <c r="O8" s="167"/>
    </row>
    <row r="9" spans="1:15" ht="18" customHeight="1" x14ac:dyDescent="0.45">
      <c r="B9" s="161"/>
      <c r="C9" s="170"/>
      <c r="D9" s="488" t="s">
        <v>94</v>
      </c>
      <c r="E9" s="488"/>
      <c r="F9" s="488"/>
      <c r="G9" s="171" t="str">
        <f>IF(収支予算書!G17&lt;&gt;"",収支予算書!G17,IF(変更申請入力フォーム!B26&lt;&gt;"",変更申請入力フォーム!B26,""))</f>
        <v/>
      </c>
      <c r="H9" s="183" t="str">
        <f>IF(収支予算書!H17="","",収支予算書!H17)</f>
        <v/>
      </c>
      <c r="I9" s="210" t="str">
        <f>IF(収支予算書!I17="","",収支予算書!I17)</f>
        <v/>
      </c>
      <c r="J9" s="211" t="str">
        <f>IFERROR(H9*IF(I9="一式", 1, I9),"")</f>
        <v/>
      </c>
      <c r="K9" s="212" t="str">
        <f>IF(変更申請入力フォーム!B27="", IF(J9&lt;&gt;"",0,""), 変更申請入力フォーム!B27)</f>
        <v/>
      </c>
      <c r="L9" s="210" t="str">
        <f>IF(変更申請入力フォーム!B28="", IF(J9&lt;&gt;"",0,""),変更申請入力フォーム!B28)</f>
        <v/>
      </c>
      <c r="M9" s="211" t="str">
        <f>IFERROR(K9*IF(L9="一式", 1, L9),"")</f>
        <v/>
      </c>
      <c r="N9" s="224" t="str">
        <f>IFERROR(M9-J9,"")</f>
        <v/>
      </c>
      <c r="O9" s="221" t="str">
        <f>変更申請入力フォーム!B29&amp;""</f>
        <v/>
      </c>
    </row>
    <row r="10" spans="1:15" ht="18" customHeight="1" x14ac:dyDescent="0.45">
      <c r="B10" s="161"/>
      <c r="G10" s="179" t="str">
        <f>IF(収支予算書!G18&lt;&gt;"",収支予算書!G18,IF(変更申請入力フォーム!B30&lt;&gt;"",変更申請入力フォーム!B30,""))</f>
        <v/>
      </c>
      <c r="H10" s="185" t="str">
        <f>IF(収支予算書!H18="","",収支予算書!H18)</f>
        <v/>
      </c>
      <c r="I10" s="214" t="str">
        <f>IF(収支予算書!I18="","",収支予算書!I18)</f>
        <v/>
      </c>
      <c r="J10" s="215" t="str">
        <f t="shared" ref="J10:J41" si="0">IFERROR(H10*IF(I10="一式", 1, I10),"")</f>
        <v/>
      </c>
      <c r="K10" s="194" t="str">
        <f>IF(変更申請入力フォーム!B31="", IF(J10&lt;&gt;"",0,""), 変更申請入力フォーム!B31)</f>
        <v/>
      </c>
      <c r="L10" s="214" t="str">
        <f>IF(変更申請入力フォーム!B32="", IF(J10&lt;&gt;"",0,""),変更申請入力フォーム!B32)</f>
        <v/>
      </c>
      <c r="M10" s="215" t="str">
        <f t="shared" ref="M10:M41" si="1">IFERROR(K10*IF(L10="一式", 1, L10),"")</f>
        <v/>
      </c>
      <c r="N10" s="213" t="str">
        <f t="shared" ref="N10:N41" si="2">IFERROR(M10-J10,"")</f>
        <v/>
      </c>
      <c r="O10" s="222" t="str">
        <f>変更申請入力フォーム!B33&amp;""</f>
        <v/>
      </c>
    </row>
    <row r="11" spans="1:15" ht="18" customHeight="1" x14ac:dyDescent="0.45">
      <c r="B11" s="161"/>
      <c r="G11" s="179" t="str">
        <f>IF(収支予算書!G19&lt;&gt;"",収支予算書!G19,IF(変更申請入力フォーム!B34&lt;&gt;"",変更申請入力フォーム!B34,""))</f>
        <v/>
      </c>
      <c r="H11" s="185" t="str">
        <f>IF(収支予算書!H19="","",収支予算書!H19)</f>
        <v/>
      </c>
      <c r="I11" s="214" t="str">
        <f>IF(収支予算書!I19="","",収支予算書!I19)</f>
        <v/>
      </c>
      <c r="J11" s="215" t="str">
        <f t="shared" si="0"/>
        <v/>
      </c>
      <c r="K11" s="194" t="str">
        <f>IF(変更申請入力フォーム!B35="", IF(J11&lt;&gt;"",0,""), 変更申請入力フォーム!B35)</f>
        <v/>
      </c>
      <c r="L11" s="214" t="str">
        <f>IF(変更申請入力フォーム!B36="", IF(J11&lt;&gt;"",0,""),変更申請入力フォーム!B36)</f>
        <v/>
      </c>
      <c r="M11" s="215" t="str">
        <f t="shared" si="1"/>
        <v/>
      </c>
      <c r="N11" s="213" t="str">
        <f t="shared" si="2"/>
        <v/>
      </c>
      <c r="O11" s="222" t="str">
        <f>変更申請入力フォーム!B37&amp;""</f>
        <v/>
      </c>
    </row>
    <row r="12" spans="1:15" ht="18" customHeight="1" x14ac:dyDescent="0.45">
      <c r="B12" s="161"/>
      <c r="G12" s="168" t="str">
        <f>IF(収支予算書!G20&lt;&gt;"",収支予算書!G20,IF(変更申請入力フォーム!B38&lt;&gt;"",変更申請入力フォーム!B38,""))</f>
        <v/>
      </c>
      <c r="H12" s="188" t="str">
        <f>IF(収支予算書!H20="","",収支予算書!H20)</f>
        <v/>
      </c>
      <c r="I12" s="189" t="str">
        <f>IF(収支予算書!I20="","",収支予算書!I20)</f>
        <v/>
      </c>
      <c r="J12" s="181" t="str">
        <f t="shared" si="0"/>
        <v/>
      </c>
      <c r="K12" s="216" t="str">
        <f>IF(変更申請入力フォーム!B39="", IF(J12&lt;&gt;"",0,""), 変更申請入力フォーム!B39)</f>
        <v/>
      </c>
      <c r="L12" s="217" t="str">
        <f>IF(変更申請入力フォーム!B40="", IF(J12&lt;&gt;"",0,""),変更申請入力フォーム!B40)</f>
        <v/>
      </c>
      <c r="M12" s="218" t="str">
        <f t="shared" si="1"/>
        <v/>
      </c>
      <c r="N12" s="213" t="str">
        <f t="shared" si="2"/>
        <v/>
      </c>
      <c r="O12" s="223" t="str">
        <f>変更申請入力フォーム!B41&amp;""</f>
        <v/>
      </c>
    </row>
    <row r="13" spans="1:15" ht="18" customHeight="1" x14ac:dyDescent="0.45">
      <c r="B13" s="161"/>
      <c r="D13" s="488" t="s">
        <v>303</v>
      </c>
      <c r="E13" s="488"/>
      <c r="F13" s="488"/>
      <c r="G13" s="171" t="str">
        <f>IF(収支予算書!G21&lt;&gt;"",収支予算書!G21,IF(変更申請入力フォーム!B60&lt;&gt;"",変更申請入力フォーム!B60,""))</f>
        <v/>
      </c>
      <c r="H13" s="195" t="str">
        <f>IF(収支予算書!H21="","",収支予算書!H21)</f>
        <v/>
      </c>
      <c r="I13" s="196" t="str">
        <f>IF(収支予算書!I21="","",収支予算書!I21)</f>
        <v/>
      </c>
      <c r="J13" s="197" t="str">
        <f t="shared" si="0"/>
        <v/>
      </c>
      <c r="K13" s="176" t="str">
        <f>IF(変更申請入力フォーム!B61="",IF(J13&lt;&gt;"",0,""),変更申請入力フォーム!B61)</f>
        <v/>
      </c>
      <c r="L13" s="177" t="str">
        <f>IF(変更申請入力フォーム!B62="",IF(J13&lt;&gt;"",0,""),変更申請入力フォーム!B62)</f>
        <v/>
      </c>
      <c r="M13" s="178" t="str">
        <f t="shared" si="1"/>
        <v/>
      </c>
      <c r="N13" s="224" t="str">
        <f t="shared" si="2"/>
        <v/>
      </c>
      <c r="O13" s="222" t="str">
        <f>変更申請入力フォーム!B63&amp;""</f>
        <v/>
      </c>
    </row>
    <row r="14" spans="1:15" ht="18" customHeight="1" x14ac:dyDescent="0.45">
      <c r="B14" s="161"/>
      <c r="G14" s="179" t="str">
        <f>IF(収支予算書!G22&lt;&gt;"",収支予算書!G22,IF(変更申請入力フォーム!B64&lt;&gt;"",変更申請入力フォーム!B64,""))</f>
        <v/>
      </c>
      <c r="H14" s="198" t="str">
        <f>IF(収支予算書!H22="","",収支予算書!H22)</f>
        <v/>
      </c>
      <c r="I14" s="199" t="str">
        <f>IF(収支予算書!I22="","",収支予算書!I22)</f>
        <v/>
      </c>
      <c r="J14" s="200" t="str">
        <f t="shared" si="0"/>
        <v/>
      </c>
      <c r="K14" s="194" t="str">
        <f>IF(変更申請入力フォーム!B65="",IF(J14&lt;&gt;"",0,""),変更申請入力フォーム!B65)</f>
        <v/>
      </c>
      <c r="L14" s="214" t="str">
        <f>IF(変更申請入力フォーム!B66="",IF(J14&lt;&gt;"",0,""),変更申請入力フォーム!B66)</f>
        <v/>
      </c>
      <c r="M14" s="175" t="str">
        <f t="shared" si="1"/>
        <v/>
      </c>
      <c r="N14" s="213" t="str">
        <f t="shared" si="2"/>
        <v/>
      </c>
      <c r="O14" s="179" t="str">
        <f>変更申請入力フォーム!B67&amp;""</f>
        <v/>
      </c>
    </row>
    <row r="15" spans="1:15" ht="18" customHeight="1" x14ac:dyDescent="0.45">
      <c r="B15" s="161"/>
      <c r="G15" s="179" t="str">
        <f>IF(収支予算書!G23&lt;&gt;"",収支予算書!G23,IF(変更申請入力フォーム!B68&lt;&gt;"",変更申請入力フォーム!B68,""))</f>
        <v/>
      </c>
      <c r="H15" s="201" t="str">
        <f>IF(収支予算書!H23="","",収支予算書!H23)</f>
        <v/>
      </c>
      <c r="I15" s="199" t="str">
        <f>IF(収支予算書!I23="","",収支予算書!I23)</f>
        <v/>
      </c>
      <c r="J15" s="200" t="str">
        <f t="shared" si="0"/>
        <v/>
      </c>
      <c r="K15" s="194" t="str">
        <f>IF(変更申請入力フォーム!B69="",IF(J15&lt;&gt;"",0,""),変更申請入力フォーム!B69)</f>
        <v/>
      </c>
      <c r="L15" s="214" t="str">
        <f>IF(変更申請入力フォーム!B70="",IF(J15&lt;&gt;"",0,""),変更申請入力フォーム!B70)</f>
        <v/>
      </c>
      <c r="M15" s="175" t="str">
        <f t="shared" si="1"/>
        <v/>
      </c>
      <c r="N15" s="213" t="str">
        <f t="shared" si="2"/>
        <v/>
      </c>
      <c r="O15" s="179" t="str">
        <f>変更申請入力フォーム!B71&amp;""</f>
        <v/>
      </c>
    </row>
    <row r="16" spans="1:15" ht="18" customHeight="1" x14ac:dyDescent="0.45">
      <c r="B16" s="161"/>
      <c r="G16" s="179" t="str">
        <f>IF(収支予算書!G24&lt;&gt;"",収支予算書!G24,IF(変更申請入力フォーム!B72&lt;&gt;"",変更申請入力フォーム!B72,""))</f>
        <v/>
      </c>
      <c r="H16" s="201" t="str">
        <f>IF(収支予算書!H24="","",収支予算書!H24)</f>
        <v/>
      </c>
      <c r="I16" s="199" t="str">
        <f>IF(収支予算書!I24="","",収支予算書!I24)</f>
        <v/>
      </c>
      <c r="J16" s="200" t="str">
        <f t="shared" si="0"/>
        <v/>
      </c>
      <c r="K16" s="194" t="str">
        <f>IF(変更申請入力フォーム!B73="",IF(J16&lt;&gt;"",0,""),変更申請入力フォーム!B73)</f>
        <v/>
      </c>
      <c r="L16" s="214" t="str">
        <f>IF(変更申請入力フォーム!B74="",IF(J16&lt;&gt;"",0,""),変更申請入力フォーム!B74)</f>
        <v/>
      </c>
      <c r="M16" s="175" t="str">
        <f t="shared" si="1"/>
        <v/>
      </c>
      <c r="N16" s="213" t="str">
        <f>IFERROR(M16-J16,"")</f>
        <v/>
      </c>
      <c r="O16" s="179" t="str">
        <f>変更申請入力フォーム!B75&amp;""</f>
        <v/>
      </c>
    </row>
    <row r="17" spans="2:15" ht="18" customHeight="1" x14ac:dyDescent="0.45">
      <c r="B17" s="161"/>
      <c r="G17" s="179" t="str">
        <f>IF(収支予算書!G25&lt;&gt;"",収支予算書!G25,IF(変更申請入力フォーム!B76&lt;&gt;"",変更申請入力フォーム!B76,""))</f>
        <v/>
      </c>
      <c r="H17" s="201" t="str">
        <f>IF(収支予算書!H25="","",収支予算書!H25)</f>
        <v/>
      </c>
      <c r="I17" s="199" t="str">
        <f>IF(収支予算書!I25="","",収支予算書!I25)</f>
        <v/>
      </c>
      <c r="J17" s="200" t="str">
        <f t="shared" si="0"/>
        <v/>
      </c>
      <c r="K17" s="194" t="str">
        <f>IF(変更申請入力フォーム!B77="",IF(J17&lt;&gt;"",0,""),変更申請入力フォーム!B77)</f>
        <v/>
      </c>
      <c r="L17" s="214" t="str">
        <f>IF(変更申請入力フォーム!B78="",IF(J17&lt;&gt;"",0,""),変更申請入力フォーム!B78)</f>
        <v/>
      </c>
      <c r="M17" s="175" t="str">
        <f t="shared" si="1"/>
        <v/>
      </c>
      <c r="N17" s="213" t="str">
        <f t="shared" si="2"/>
        <v/>
      </c>
      <c r="O17" s="179" t="str">
        <f>変更申請入力フォーム!B79&amp;""</f>
        <v/>
      </c>
    </row>
    <row r="18" spans="2:15" ht="18" customHeight="1" x14ac:dyDescent="0.45">
      <c r="B18" s="161"/>
      <c r="G18" s="179" t="str">
        <f>IF(収支予算書!G26&lt;&gt;"",収支予算書!G26,IF(変更申請入力フォーム!B80&lt;&gt;"",変更申請入力フォーム!B80,""))</f>
        <v/>
      </c>
      <c r="H18" s="201" t="str">
        <f>IF(収支予算書!H26="","",収支予算書!H26)</f>
        <v/>
      </c>
      <c r="I18" s="202" t="str">
        <f>IF(収支予算書!I26="","",収支予算書!I26)</f>
        <v/>
      </c>
      <c r="J18" s="203" t="str">
        <f t="shared" si="0"/>
        <v/>
      </c>
      <c r="K18" s="173" t="str">
        <f>IF(変更申請入力フォーム!B81="",IF(J18&lt;&gt;"",0,""),変更申請入力フォーム!B81)</f>
        <v/>
      </c>
      <c r="L18" s="174" t="str">
        <f>IF(変更申請入力フォーム!B82="",IF(J18&lt;&gt;"",0,""),変更申請入力フォーム!B82)</f>
        <v/>
      </c>
      <c r="M18" s="175" t="str">
        <f t="shared" si="1"/>
        <v/>
      </c>
      <c r="N18" s="213" t="str">
        <f t="shared" si="2"/>
        <v/>
      </c>
      <c r="O18" s="179" t="str">
        <f>変更申請入力フォーム!B83&amp;""</f>
        <v/>
      </c>
    </row>
    <row r="19" spans="2:15" ht="18" customHeight="1" x14ac:dyDescent="0.45">
      <c r="B19" s="161"/>
      <c r="G19" s="179" t="str">
        <f>IF(収支予算書!G27&lt;&gt;"",収支予算書!G27,IF(変更申請入力フォーム!B84&lt;&gt;"",変更申請入力フォーム!B84,""))</f>
        <v/>
      </c>
      <c r="H19" s="201" t="str">
        <f>IF(収支予算書!H27="","",収支予算書!H27)</f>
        <v/>
      </c>
      <c r="I19" s="202" t="str">
        <f>IF(収支予算書!I27="","",収支予算書!I27)</f>
        <v/>
      </c>
      <c r="J19" s="203" t="str">
        <f t="shared" si="0"/>
        <v/>
      </c>
      <c r="K19" s="173" t="str">
        <f>IF(変更申請入力フォーム!B85="",IF(J19&lt;&gt;"",0,""),変更申請入力フォーム!B85)</f>
        <v/>
      </c>
      <c r="L19" s="174" t="str">
        <f>IF(変更申請入力フォーム!B86="",IF(J19&lt;&gt;"",0,""),変更申請入力フォーム!B86)</f>
        <v/>
      </c>
      <c r="M19" s="175" t="str">
        <f t="shared" si="1"/>
        <v/>
      </c>
      <c r="N19" s="213" t="str">
        <f t="shared" si="2"/>
        <v/>
      </c>
      <c r="O19" s="179" t="str">
        <f>変更申請入力フォーム!B87&amp;""</f>
        <v/>
      </c>
    </row>
    <row r="20" spans="2:15" ht="18" customHeight="1" x14ac:dyDescent="0.45">
      <c r="B20" s="161"/>
      <c r="G20" s="179" t="str">
        <f>IF(収支予算書!G28&lt;&gt;"",収支予算書!G28,IF(変更申請入力フォーム!B88&lt;&gt;"",変更申請入力フォーム!B88,""))</f>
        <v/>
      </c>
      <c r="H20" s="201" t="str">
        <f>IF(収支予算書!H28="","",収支予算書!H28)</f>
        <v/>
      </c>
      <c r="I20" s="202" t="str">
        <f>IF(収支予算書!I28="","",収支予算書!I28)</f>
        <v/>
      </c>
      <c r="J20" s="203" t="str">
        <f t="shared" si="0"/>
        <v/>
      </c>
      <c r="K20" s="173" t="str">
        <f>IF(変更申請入力フォーム!B89="",IF(J20&lt;&gt;"",0,""),変更申請入力フォーム!B89)</f>
        <v/>
      </c>
      <c r="L20" s="174" t="str">
        <f>IF(変更申請入力フォーム!B90="",IF(J20&lt;&gt;"",0,""),変更申請入力フォーム!B90)</f>
        <v/>
      </c>
      <c r="M20" s="175" t="str">
        <f t="shared" si="1"/>
        <v/>
      </c>
      <c r="N20" s="213" t="str">
        <f t="shared" si="2"/>
        <v/>
      </c>
      <c r="O20" s="179" t="str">
        <f>変更申請入力フォーム!B91&amp;""</f>
        <v/>
      </c>
    </row>
    <row r="21" spans="2:15" ht="18" customHeight="1" x14ac:dyDescent="0.45">
      <c r="B21" s="161"/>
      <c r="G21" s="179" t="str">
        <f>IF(収支予算書!G29&lt;&gt;"",収支予算書!G29,IF(変更申請入力フォーム!B92&lt;&gt;"",変更申請入力フォーム!B92,""))</f>
        <v/>
      </c>
      <c r="H21" s="198" t="str">
        <f>IF(収支予算書!H29="","",収支予算書!H29)</f>
        <v/>
      </c>
      <c r="I21" s="202" t="str">
        <f>IF(収支予算書!I29="","",収支予算書!I29)</f>
        <v/>
      </c>
      <c r="J21" s="203" t="str">
        <f t="shared" si="0"/>
        <v/>
      </c>
      <c r="K21" s="173" t="str">
        <f>IF(変更申請入力フォーム!B93="",IF(J21&lt;&gt;"",0,""),変更申請入力フォーム!B93)</f>
        <v/>
      </c>
      <c r="L21" s="174" t="str">
        <f>IF(変更申請入力フォーム!B94="",IF(J21&lt;&gt;"",0,""),変更申請入力フォーム!B94)</f>
        <v/>
      </c>
      <c r="M21" s="175" t="str">
        <f t="shared" si="1"/>
        <v/>
      </c>
      <c r="N21" s="213" t="str">
        <f t="shared" si="2"/>
        <v/>
      </c>
      <c r="O21" s="179" t="str">
        <f>変更申請入力フォーム!B95&amp;""</f>
        <v/>
      </c>
    </row>
    <row r="22" spans="2:15" ht="18" customHeight="1" x14ac:dyDescent="0.45">
      <c r="B22" s="161"/>
      <c r="G22" s="179" t="str">
        <f>IF(収支予算書!G30&lt;&gt;"",収支予算書!G30,IF(変更申請入力フォーム!B96&lt;&gt;"",変更申請入力フォーム!B96,""))</f>
        <v/>
      </c>
      <c r="H22" s="204" t="str">
        <f>IF(収支予算書!H30="","",収支予算書!H30)</f>
        <v/>
      </c>
      <c r="I22" s="202" t="str">
        <f>IF(収支予算書!I30="","",収支予算書!I30)</f>
        <v/>
      </c>
      <c r="J22" s="203" t="str">
        <f t="shared" si="0"/>
        <v/>
      </c>
      <c r="K22" s="173" t="str">
        <f>IF(変更申請入力フォーム!B97="",IF(J22&lt;&gt;"",0,""),変更申請入力フォーム!B97)</f>
        <v/>
      </c>
      <c r="L22" s="174" t="str">
        <f>IF(変更申請入力フォーム!B98="",IF(J22&lt;&gt;"",0,""),変更申請入力フォーム!B98)</f>
        <v/>
      </c>
      <c r="M22" s="175" t="str">
        <f t="shared" si="1"/>
        <v/>
      </c>
      <c r="N22" s="213" t="str">
        <f t="shared" si="2"/>
        <v/>
      </c>
      <c r="O22" s="179" t="str">
        <f>変更申請入力フォーム!B99&amp;""</f>
        <v/>
      </c>
    </row>
    <row r="23" spans="2:15" ht="18" customHeight="1" x14ac:dyDescent="0.45">
      <c r="B23" s="161"/>
      <c r="G23" s="179" t="str">
        <f>IF(収支予算書!G31&lt;&gt;"",収支予算書!G31,IF(変更申請入力フォーム!B100&lt;&gt;"",変更申請入力フォーム!B100,""))</f>
        <v/>
      </c>
      <c r="H23" s="185" t="str">
        <f>IF(収支予算書!H31="","",収支予算書!H31)</f>
        <v/>
      </c>
      <c r="I23" s="205" t="str">
        <f>IF(収支予算書!I31="","",収支予算書!I31)</f>
        <v/>
      </c>
      <c r="J23" s="200" t="str">
        <f t="shared" si="0"/>
        <v/>
      </c>
      <c r="K23" s="173" t="str">
        <f>IF(変更申請入力フォーム!B101="",IF(J23&lt;&gt;"",0,""),変更申請入力フォーム!B101)</f>
        <v/>
      </c>
      <c r="L23" s="174" t="str">
        <f>IF(変更申請入力フォーム!B102="",IF(J23&lt;&gt;"",0,""),変更申請入力フォーム!B102)</f>
        <v/>
      </c>
      <c r="M23" s="175" t="str">
        <f t="shared" si="1"/>
        <v/>
      </c>
      <c r="N23" s="213" t="str">
        <f t="shared" si="2"/>
        <v/>
      </c>
      <c r="O23" s="179" t="str">
        <f>変更申請入力フォーム!B103&amp;""</f>
        <v/>
      </c>
    </row>
    <row r="24" spans="2:15" ht="18" customHeight="1" x14ac:dyDescent="0.45">
      <c r="B24" s="161"/>
      <c r="G24" s="179" t="str">
        <f>IF(収支予算書!G32&lt;&gt;"",収支予算書!G32,IF(変更申請入力フォーム!B104&lt;&gt;"",変更申請入力フォーム!B104,""))</f>
        <v/>
      </c>
      <c r="H24" s="185" t="str">
        <f>IF(収支予算書!H32="","",収支予算書!H32)</f>
        <v/>
      </c>
      <c r="I24" s="206" t="str">
        <f>IF(収支予算書!I32="","",収支予算書!I32)</f>
        <v/>
      </c>
      <c r="J24" s="200" t="str">
        <f t="shared" si="0"/>
        <v/>
      </c>
      <c r="K24" s="194" t="str">
        <f>IF(変更申請入力フォーム!B105="",IF(J24&lt;&gt;"",0,""),変更申請入力フォーム!B105)</f>
        <v/>
      </c>
      <c r="L24" s="214" t="str">
        <f>IF(変更申請入力フォーム!B106="",IF(J24&lt;&gt;"",0,""),変更申請入力フォーム!B106)</f>
        <v/>
      </c>
      <c r="M24" s="175" t="str">
        <f t="shared" si="1"/>
        <v/>
      </c>
      <c r="N24" s="213" t="str">
        <f t="shared" si="2"/>
        <v/>
      </c>
      <c r="O24" s="179" t="str">
        <f>変更申請入力フォーム!B107&amp;""</f>
        <v/>
      </c>
    </row>
    <row r="25" spans="2:15" ht="18" customHeight="1" x14ac:dyDescent="0.45">
      <c r="B25" s="161"/>
      <c r="G25" s="179" t="str">
        <f>IF(収支予算書!G33&lt;&gt;"",収支予算書!G33,IF(変更申請入力フォーム!B108&lt;&gt;"",変更申請入力フォーム!B108,""))</f>
        <v/>
      </c>
      <c r="H25" s="185" t="str">
        <f>IF(収支予算書!H33="","",収支予算書!H33)</f>
        <v/>
      </c>
      <c r="I25" s="206" t="str">
        <f>IF(収支予算書!I33="","",収支予算書!I33)</f>
        <v/>
      </c>
      <c r="J25" s="200" t="str">
        <f t="shared" si="0"/>
        <v/>
      </c>
      <c r="K25" s="194" t="str">
        <f>IF(変更申請入力フォーム!B109="",IF(J25&lt;&gt;"",0,""),変更申請入力フォーム!B109)</f>
        <v/>
      </c>
      <c r="L25" s="214" t="str">
        <f>IF(変更申請入力フォーム!B110="",IF(J25&lt;&gt;"",0,""),変更申請入力フォーム!B110)</f>
        <v/>
      </c>
      <c r="M25" s="175" t="str">
        <f t="shared" si="1"/>
        <v/>
      </c>
      <c r="N25" s="213" t="str">
        <f t="shared" si="2"/>
        <v/>
      </c>
      <c r="O25" s="179" t="str">
        <f>変更申請入力フォーム!B111&amp;""</f>
        <v/>
      </c>
    </row>
    <row r="26" spans="2:15" ht="18" customHeight="1" x14ac:dyDescent="0.45">
      <c r="B26" s="161"/>
      <c r="G26" s="179" t="str">
        <f>IF(収支予算書!G34&lt;&gt;"",収支予算書!G34,IF(変更申請入力フォーム!B112&lt;&gt;"",変更申請入力フォーム!B112,""))</f>
        <v/>
      </c>
      <c r="H26" s="207" t="str">
        <f>IF(収支予算書!H34="","",収支予算書!H34)</f>
        <v/>
      </c>
      <c r="I26" s="206" t="str">
        <f>IF(収支予算書!I34="","",収支予算書!I34)</f>
        <v/>
      </c>
      <c r="J26" s="203" t="str">
        <f t="shared" si="0"/>
        <v/>
      </c>
      <c r="K26" s="173" t="str">
        <f>IF(変更申請入力フォーム!B113="",IF(J26&lt;&gt;"",0,""),変更申請入力フォーム!B113)</f>
        <v/>
      </c>
      <c r="L26" s="174" t="str">
        <f>IF(変更申請入力フォーム!B114="",IF(J26&lt;&gt;"",0,""),変更申請入力フォーム!B114)</f>
        <v/>
      </c>
      <c r="M26" s="175" t="str">
        <f t="shared" si="1"/>
        <v/>
      </c>
      <c r="N26" s="213" t="str">
        <f t="shared" si="2"/>
        <v/>
      </c>
      <c r="O26" s="179" t="str">
        <f>変更申請入力フォーム!B115&amp;""</f>
        <v/>
      </c>
    </row>
    <row r="27" spans="2:15" ht="18" customHeight="1" x14ac:dyDescent="0.45">
      <c r="B27" s="161"/>
      <c r="G27" s="179" t="str">
        <f>IF(収支予算書!G35&lt;&gt;"",収支予算書!G35,IF(変更申請入力フォーム!B116&lt;&gt;"",変更申請入力フォーム!B116,""))</f>
        <v/>
      </c>
      <c r="H27" s="208" t="str">
        <f>IF(収支予算書!H35="","",収支予算書!H35)</f>
        <v/>
      </c>
      <c r="I27" s="206" t="str">
        <f>IF(収支予算書!I35="","",収支予算書!I35)</f>
        <v/>
      </c>
      <c r="J27" s="203" t="str">
        <f t="shared" si="0"/>
        <v/>
      </c>
      <c r="K27" s="173" t="str">
        <f>IF(変更申請入力フォーム!B117="",IF(J27&lt;&gt;"",0,""),変更申請入力フォーム!B117)</f>
        <v/>
      </c>
      <c r="L27" s="174" t="str">
        <f>IF(変更申請入力フォーム!B118="",IF(J27&lt;&gt;"",0,""),変更申請入力フォーム!B118)</f>
        <v/>
      </c>
      <c r="M27" s="175" t="str">
        <f t="shared" si="1"/>
        <v/>
      </c>
      <c r="N27" s="213" t="str">
        <f t="shared" si="2"/>
        <v/>
      </c>
      <c r="O27" s="179" t="str">
        <f>変更申請入力フォーム!B119&amp;""</f>
        <v/>
      </c>
    </row>
    <row r="28" spans="2:15" ht="18" customHeight="1" x14ac:dyDescent="0.45">
      <c r="B28" s="161"/>
      <c r="G28" s="179" t="str">
        <f>IF(収支予算書!G36&lt;&gt;"",収支予算書!G36,IF(変更申請入力フォーム!B120&lt;&gt;"",変更申請入力フォーム!B120,""))</f>
        <v/>
      </c>
      <c r="H28" s="208" t="str">
        <f>IF(収支予算書!H36="","",収支予算書!H36)</f>
        <v/>
      </c>
      <c r="I28" s="206" t="str">
        <f>IF(収支予算書!I36="","",収支予算書!I36)</f>
        <v/>
      </c>
      <c r="J28" s="203" t="str">
        <f t="shared" si="0"/>
        <v/>
      </c>
      <c r="K28" s="173" t="str">
        <f>IF(変更申請入力フォーム!B121="",IF(J28&lt;&gt;"",0,""),変更申請入力フォーム!B121)</f>
        <v/>
      </c>
      <c r="L28" s="174" t="str">
        <f>IF(変更申請入力フォーム!B122="",IF(J28&lt;&gt;"",0,""),変更申請入力フォーム!B122)</f>
        <v/>
      </c>
      <c r="M28" s="175" t="str">
        <f t="shared" si="1"/>
        <v/>
      </c>
      <c r="N28" s="213" t="str">
        <f t="shared" si="2"/>
        <v/>
      </c>
      <c r="O28" s="179" t="str">
        <f>変更申請入力フォーム!B123&amp;""</f>
        <v/>
      </c>
    </row>
    <row r="29" spans="2:15" ht="18" customHeight="1" x14ac:dyDescent="0.45">
      <c r="B29" s="161"/>
      <c r="G29" s="180" t="str">
        <f>IF(収支予算書!G37&lt;&gt;"",収支予算書!G37,IF(変更申請入力フォーム!B124&lt;&gt;"",変更申請入力フォーム!B124,""))</f>
        <v/>
      </c>
      <c r="H29" s="188" t="str">
        <f>IF(収支予算書!H37="","",収支予算書!H37)</f>
        <v/>
      </c>
      <c r="I29" s="209" t="str">
        <f>IF(収支予算書!I37="","",収支予算書!I37)</f>
        <v/>
      </c>
      <c r="J29" s="181" t="str">
        <f t="shared" si="0"/>
        <v/>
      </c>
      <c r="K29" s="216" t="str">
        <f>IF(変更申請入力フォーム!B125="",IF(J29&lt;&gt;"",0,""),変更申請入力フォーム!B125)</f>
        <v/>
      </c>
      <c r="L29" s="217" t="str">
        <f>IF(変更申請入力フォーム!B126="",IF(J29&lt;&gt;"",0,""),変更申請入力フォーム!B126)</f>
        <v/>
      </c>
      <c r="M29" s="181" t="str">
        <f t="shared" si="1"/>
        <v/>
      </c>
      <c r="N29" s="213" t="str">
        <f t="shared" si="2"/>
        <v/>
      </c>
      <c r="O29" s="180" t="str">
        <f>変更申請入力フォーム!B127&amp;""</f>
        <v/>
      </c>
    </row>
    <row r="30" spans="2:15" ht="18" customHeight="1" x14ac:dyDescent="0.45">
      <c r="B30" s="161"/>
      <c r="D30" s="488" t="s">
        <v>304</v>
      </c>
      <c r="E30" s="488"/>
      <c r="F30" s="488"/>
      <c r="G30" s="162" t="str">
        <f>IF(収支予算書!G38&lt;&gt;"",収支予算書!G38,IF(変更申請入力フォーム!B133&lt;&gt;"",変更申請入力フォーム!B133,""))</f>
        <v/>
      </c>
      <c r="H30" s="173" t="str">
        <f>IF(収支予算書!H38="","",収支予算書!H38)</f>
        <v/>
      </c>
      <c r="I30" s="214" t="str">
        <f>IF(収支予算書!I38="","",収支予算書!I38)</f>
        <v/>
      </c>
      <c r="J30" s="186" t="str">
        <f t="shared" si="0"/>
        <v/>
      </c>
      <c r="K30" s="194" t="str">
        <f>IF(変更申請入力フォーム!B134="",IF(J30&lt;&gt;"",0,""),変更申請入力フォーム!B134)</f>
        <v/>
      </c>
      <c r="L30" s="214" t="str">
        <f>IF(変更申請入力フォーム!B135="",IF(J30&lt;&gt;"",0,""),変更申請入力フォーム!B135)</f>
        <v/>
      </c>
      <c r="M30" s="175" t="str">
        <f t="shared" si="1"/>
        <v/>
      </c>
      <c r="N30" s="224" t="str">
        <f t="shared" si="2"/>
        <v/>
      </c>
      <c r="O30" s="221" t="str">
        <f>変更申請入力フォーム!B136&amp;""</f>
        <v/>
      </c>
    </row>
    <row r="31" spans="2:15" ht="18" customHeight="1" x14ac:dyDescent="0.45">
      <c r="B31" s="161"/>
      <c r="G31" s="162" t="str">
        <f>IF(収支予算書!G39&lt;&gt;"",収支予算書!G39,IF(変更申請入力フォーム!B137&lt;&gt;"",変更申請入力フォーム!B137,""))</f>
        <v/>
      </c>
      <c r="H31" s="173" t="str">
        <f>IF(収支予算書!H39="","",収支予算書!H39)</f>
        <v/>
      </c>
      <c r="I31" s="214" t="str">
        <f>IF(収支予算書!I39="","",収支予算書!I39)</f>
        <v/>
      </c>
      <c r="J31" s="219" t="str">
        <f t="shared" si="0"/>
        <v/>
      </c>
      <c r="K31" s="194" t="str">
        <f>IF(変更申請入力フォーム!B138="",IF(J31&lt;&gt;"",0,""),変更申請入力フォーム!B138)</f>
        <v/>
      </c>
      <c r="L31" s="214" t="str">
        <f>IF(変更申請入力フォーム!B139="",IF(J31&lt;&gt;"",0,""),変更申請入力フォーム!B139)</f>
        <v/>
      </c>
      <c r="M31" s="175" t="str">
        <f t="shared" si="1"/>
        <v/>
      </c>
      <c r="N31" s="213" t="str">
        <f t="shared" si="2"/>
        <v/>
      </c>
      <c r="O31" s="222" t="str">
        <f>変更申請入力フォーム!B140&amp;""</f>
        <v/>
      </c>
    </row>
    <row r="32" spans="2:15" ht="18" customHeight="1" x14ac:dyDescent="0.45">
      <c r="B32" s="161"/>
      <c r="G32" s="162" t="str">
        <f>IF(収支予算書!G40&lt;&gt;"",収支予算書!G40,IF(変更申請入力フォーム!B141&lt;&gt;"",変更申請入力フォーム!B141,""))</f>
        <v/>
      </c>
      <c r="H32" s="173" t="str">
        <f>IF(収支予算書!H40="","",収支予算書!H40)</f>
        <v/>
      </c>
      <c r="I32" s="214" t="str">
        <f>IF(収支予算書!I40="","",収支予算書!I40)</f>
        <v/>
      </c>
      <c r="J32" s="219" t="str">
        <f t="shared" si="0"/>
        <v/>
      </c>
      <c r="K32" s="194" t="str">
        <f>IF(変更申請入力フォーム!B142="",IF(J32&lt;&gt;"",0,""),変更申請入力フォーム!B142)</f>
        <v/>
      </c>
      <c r="L32" s="214" t="str">
        <f>IF(変更申請入力フォーム!B143="",IF(J32&lt;&gt;"",0,""),変更申請入力フォーム!B143)</f>
        <v/>
      </c>
      <c r="M32" s="175" t="str">
        <f t="shared" si="1"/>
        <v/>
      </c>
      <c r="N32" s="213" t="str">
        <f t="shared" si="2"/>
        <v/>
      </c>
      <c r="O32" s="222" t="str">
        <f>変更申請入力フォーム!B144&amp;""</f>
        <v/>
      </c>
    </row>
    <row r="33" spans="2:15" ht="18" customHeight="1" x14ac:dyDescent="0.45">
      <c r="B33" s="161"/>
      <c r="G33" s="162" t="str">
        <f>IF(収支予算書!G41&lt;&gt;"",収支予算書!G41,IF(変更申請入力フォーム!B145&lt;&gt;"",変更申請入力フォーム!B145,""))</f>
        <v/>
      </c>
      <c r="H33" s="173" t="str">
        <f>IF(収支予算書!H41="","",収支予算書!H41)</f>
        <v/>
      </c>
      <c r="I33" s="174" t="str">
        <f>IF(収支予算書!I41="","",収支予算書!I41)</f>
        <v/>
      </c>
      <c r="J33" s="219" t="str">
        <f t="shared" si="0"/>
        <v/>
      </c>
      <c r="K33" s="194" t="str">
        <f>IF(変更申請入力フォーム!B146="",IF(J33&lt;&gt;"",0,""),変更申請入力フォーム!B146)</f>
        <v/>
      </c>
      <c r="L33" s="217" t="str">
        <f>IF(変更申請入力フォーム!B147="",IF(J33&lt;&gt;"",0,""),変更申請入力フォーム!B147)</f>
        <v/>
      </c>
      <c r="M33" s="175" t="str">
        <f t="shared" si="1"/>
        <v/>
      </c>
      <c r="N33" s="213" t="str">
        <f t="shared" si="2"/>
        <v/>
      </c>
      <c r="O33" s="180" t="str">
        <f>変更申請入力フォーム!B148&amp;""</f>
        <v/>
      </c>
    </row>
    <row r="34" spans="2:15" ht="18" customHeight="1" x14ac:dyDescent="0.45">
      <c r="B34" s="161"/>
      <c r="D34" s="488" t="s">
        <v>305</v>
      </c>
      <c r="E34" s="488"/>
      <c r="F34" s="488"/>
      <c r="G34" s="182" t="str">
        <f>IF(収支予算書!G42&lt;&gt;"",収支予算書!G42,IF(変更申請入力フォーム!B154&lt;&gt;"",変更申請入力フォーム!B154,""))</f>
        <v/>
      </c>
      <c r="H34" s="176" t="str">
        <f>IF(収支予算書!H42="","",収支予算書!H42)</f>
        <v/>
      </c>
      <c r="I34" s="177" t="str">
        <f>IF(収支予算書!I42="","",収支予算書!I42)</f>
        <v/>
      </c>
      <c r="J34" s="183" t="str">
        <f t="shared" si="0"/>
        <v/>
      </c>
      <c r="K34" s="176" t="str">
        <f>IF(変更申請入力フォーム!B155="",IF(J34&lt;&gt;"",0,""),変更申請入力フォーム!B155)</f>
        <v/>
      </c>
      <c r="L34" s="177" t="str">
        <f>IF(変更申請入力フォーム!B156="",IF(J34&lt;&gt;"",0,""),変更申請入力フォーム!B156)</f>
        <v/>
      </c>
      <c r="M34" s="184" t="str">
        <f t="shared" si="1"/>
        <v/>
      </c>
      <c r="N34" s="224" t="str">
        <f t="shared" si="2"/>
        <v/>
      </c>
      <c r="O34" s="222" t="str">
        <f>変更申請入力フォーム!B157&amp;""</f>
        <v/>
      </c>
    </row>
    <row r="35" spans="2:15" ht="18" customHeight="1" x14ac:dyDescent="0.45">
      <c r="B35" s="161"/>
      <c r="G35" s="172" t="str">
        <f>IF(収支予算書!G43&lt;&gt;"",収支予算書!G43,IF(変更申請入力フォーム!B158&lt;&gt;"",変更申請入力フォーム!B158,""))</f>
        <v/>
      </c>
      <c r="H35" s="173" t="str">
        <f>IF(収支予算書!H43="","",収支予算書!H43)</f>
        <v/>
      </c>
      <c r="I35" s="174" t="str">
        <f>IF(収支予算書!I43="","",収支予算書!I43)</f>
        <v/>
      </c>
      <c r="J35" s="185" t="str">
        <f t="shared" si="0"/>
        <v/>
      </c>
      <c r="K35" s="173" t="str">
        <f>IF(変更申請入力フォーム!B159="",IF(J35&lt;&gt;"",0,""),変更申請入力フォーム!B159)</f>
        <v/>
      </c>
      <c r="L35" s="174" t="str">
        <f>IF(変更申請入力フォーム!B160="",IF(J35&lt;&gt;"",0,""),変更申請入力フォーム!B160)</f>
        <v/>
      </c>
      <c r="M35" s="186" t="str">
        <f t="shared" si="1"/>
        <v/>
      </c>
      <c r="N35" s="213" t="str">
        <f t="shared" si="2"/>
        <v/>
      </c>
      <c r="O35" s="222" t="str">
        <f>変更申請入力フォーム!B161&amp;""</f>
        <v/>
      </c>
    </row>
    <row r="36" spans="2:15" ht="18" customHeight="1" x14ac:dyDescent="0.45">
      <c r="B36" s="161"/>
      <c r="G36" s="172" t="str">
        <f>IF(収支予算書!G44&lt;&gt;"",収支予算書!G44,IF(変更申請入力フォーム!B162&lt;&gt;"",変更申請入力フォーム!B162,""))</f>
        <v/>
      </c>
      <c r="H36" s="173" t="str">
        <f>IF(収支予算書!H44="","",収支予算書!H44)</f>
        <v/>
      </c>
      <c r="I36" s="174" t="str">
        <f>IF(収支予算書!I44="","",収支予算書!I44)</f>
        <v/>
      </c>
      <c r="J36" s="185" t="str">
        <f t="shared" si="0"/>
        <v/>
      </c>
      <c r="K36" s="173" t="str">
        <f>IF(変更申請入力フォーム!B163="",IF(J36&lt;&gt;"",0,""),変更申請入力フォーム!B163)</f>
        <v/>
      </c>
      <c r="L36" s="174" t="str">
        <f>IF(変更申請入力フォーム!B164="",IF(J36&lt;&gt;"",0,""),変更申請入力フォーム!B164)</f>
        <v/>
      </c>
      <c r="M36" s="186" t="str">
        <f t="shared" si="1"/>
        <v/>
      </c>
      <c r="N36" s="213" t="str">
        <f t="shared" si="2"/>
        <v/>
      </c>
      <c r="O36" s="222" t="str">
        <f>変更申請入力フォーム!B165&amp;""</f>
        <v/>
      </c>
    </row>
    <row r="37" spans="2:15" ht="18" customHeight="1" x14ac:dyDescent="0.45">
      <c r="B37" s="161"/>
      <c r="G37" s="187" t="str">
        <f>IF(収支予算書!G45&lt;&gt;"",収支予算書!G45,IF(変更申請入力フォーム!B162&lt;&gt;"",変更申請入力フォーム!B162,""))</f>
        <v/>
      </c>
      <c r="H37" s="188" t="str">
        <f>IF(収支予算書!H45="","",収支予算書!H45)</f>
        <v/>
      </c>
      <c r="I37" s="189" t="str">
        <f>IF(収支予算書!I45="","",収支予算書!I45)</f>
        <v/>
      </c>
      <c r="J37" s="190" t="str">
        <f t="shared" si="0"/>
        <v/>
      </c>
      <c r="K37" s="216" t="str">
        <f>IF(変更申請入力フォーム!B167="",IF(J37&lt;&gt;"",0,""),変更申請入力フォーム!B167)</f>
        <v/>
      </c>
      <c r="L37" s="217" t="str">
        <f>IF(変更申請入力フォーム!B168="",IF(J37&lt;&gt;"",0,""),変更申請入力フォーム!B168)</f>
        <v/>
      </c>
      <c r="M37" s="181" t="str">
        <f t="shared" si="1"/>
        <v/>
      </c>
      <c r="N37" s="213" t="str">
        <f t="shared" si="2"/>
        <v/>
      </c>
      <c r="O37" s="222" t="str">
        <f>変更申請入力フォーム!B169&amp;""</f>
        <v/>
      </c>
    </row>
    <row r="38" spans="2:15" ht="18" customHeight="1" x14ac:dyDescent="0.45">
      <c r="B38" s="161"/>
      <c r="D38" s="484" t="s">
        <v>306</v>
      </c>
      <c r="E38" s="484"/>
      <c r="F38" s="485"/>
      <c r="G38" s="182" t="str">
        <f>IF(収支予算書!G46&lt;&gt;"",収支予算書!G46,IF(変更申請入力フォーム!B175&lt;&gt;"",変更申請入力フォーム!B175,""))</f>
        <v/>
      </c>
      <c r="H38" s="176" t="str">
        <f>IF(収支予算書!H46="","",収支予算書!H46)</f>
        <v/>
      </c>
      <c r="I38" s="177" t="str">
        <f>IF(収支予算書!I46="","",収支予算書!I46)</f>
        <v/>
      </c>
      <c r="J38" s="178" t="str">
        <f t="shared" si="0"/>
        <v/>
      </c>
      <c r="K38" s="212" t="str">
        <f>IF(変更申請入力フォーム!B176="",IF(J38&lt;&gt;"",0,""),変更申請入力フォーム!B176)</f>
        <v/>
      </c>
      <c r="L38" s="210" t="str">
        <f>IF(変更申請入力フォーム!B177="",IF(J38&lt;&gt;"",0,""),変更申請入力フォーム!B177)</f>
        <v/>
      </c>
      <c r="M38" s="178" t="str">
        <f t="shared" si="1"/>
        <v/>
      </c>
      <c r="N38" s="224" t="str">
        <f t="shared" si="2"/>
        <v/>
      </c>
      <c r="O38" s="171" t="str">
        <f>変更申請入力フォーム!B178&amp;""</f>
        <v/>
      </c>
    </row>
    <row r="39" spans="2:15" ht="18" customHeight="1" x14ac:dyDescent="0.45">
      <c r="B39" s="161"/>
      <c r="D39" s="192"/>
      <c r="E39" s="192"/>
      <c r="F39" s="192"/>
      <c r="G39" s="172" t="str">
        <f>IF(収支予算書!G47&lt;&gt;"",収支予算書!G47,IF(変更申請入力フォーム!B179&lt;&gt;"",変更申請入力フォーム!B179,""))</f>
        <v/>
      </c>
      <c r="H39" s="173" t="str">
        <f>IF(収支予算書!H47="","",収支予算書!H47)</f>
        <v/>
      </c>
      <c r="I39" s="174" t="str">
        <f>IF(収支予算書!I47="","",収支予算書!I47)</f>
        <v/>
      </c>
      <c r="J39" s="175" t="str">
        <f t="shared" si="0"/>
        <v/>
      </c>
      <c r="K39" s="194" t="str">
        <f>IF(変更申請入力フォーム!B180="",IF(J39&lt;&gt;"",0,""),変更申請入力フォーム!B180)</f>
        <v/>
      </c>
      <c r="L39" s="214" t="str">
        <f>IF(変更申請入力フォーム!B181="",IF(J39&lt;&gt;"",0,""),変更申請入力フォーム!B181)</f>
        <v/>
      </c>
      <c r="M39" s="175" t="str">
        <f t="shared" si="1"/>
        <v/>
      </c>
      <c r="N39" s="213" t="str">
        <f t="shared" si="2"/>
        <v/>
      </c>
      <c r="O39" s="222" t="str">
        <f>変更申請入力フォーム!B182&amp;""</f>
        <v/>
      </c>
    </row>
    <row r="40" spans="2:15" ht="18" customHeight="1" x14ac:dyDescent="0.45">
      <c r="B40" s="161"/>
      <c r="G40" s="172" t="str">
        <f>IF(収支予算書!G48&lt;&gt;"",収支予算書!G48,IF(変更申請入力フォーム!B183&lt;&gt;"",変更申請入力フォーム!B183,""))</f>
        <v/>
      </c>
      <c r="H40" s="173" t="str">
        <f>IF(収支予算書!H48="","",収支予算書!H48)</f>
        <v/>
      </c>
      <c r="I40" s="174" t="str">
        <f>IF(収支予算書!I48="","",収支予算書!I48)</f>
        <v/>
      </c>
      <c r="J40" s="175" t="str">
        <f t="shared" si="0"/>
        <v/>
      </c>
      <c r="K40" s="194" t="str">
        <f>IF(変更申請入力フォーム!B184="",IF(J40&lt;&gt;"",0,""),変更申請入力フォーム!B184)</f>
        <v/>
      </c>
      <c r="L40" s="214" t="str">
        <f>IF(変更申請入力フォーム!B185="",IF(J40&lt;&gt;"",0,""),変更申請入力フォーム!B185)</f>
        <v/>
      </c>
      <c r="M40" s="175" t="str">
        <f t="shared" si="1"/>
        <v/>
      </c>
      <c r="N40" s="213" t="str">
        <f t="shared" si="2"/>
        <v/>
      </c>
      <c r="O40" s="222" t="str">
        <f>変更申請入力フォーム!B186&amp;""</f>
        <v/>
      </c>
    </row>
    <row r="41" spans="2:15" ht="18" customHeight="1" thickBot="1" x14ac:dyDescent="0.5">
      <c r="B41" s="161"/>
      <c r="G41" s="162" t="str">
        <f>IF(収支予算書!G49&lt;&gt;"",収支予算書!G49,IF(変更申請入力フォーム!B187&lt;&gt;"",変更申請入力フォーム!B187,""))</f>
        <v/>
      </c>
      <c r="H41" s="194" t="str">
        <f>IF(収支予算書!H49="","",収支予算書!H49)</f>
        <v/>
      </c>
      <c r="I41" s="214" t="str">
        <f>IF(収支予算書!I49="","",収支予算書!I49)</f>
        <v/>
      </c>
      <c r="J41" s="215" t="str">
        <f t="shared" si="0"/>
        <v/>
      </c>
      <c r="K41" s="194" t="str">
        <f>IF(変更申請入力フォーム!B188="",IF(J41&lt;&gt;"",0,""),変更申請入力フォーム!B188)</f>
        <v/>
      </c>
      <c r="L41" s="214" t="str">
        <f>IF(変更申請入力フォーム!B189="",IF(J41&lt;&gt;"",0,""),変更申請入力フォーム!B189)</f>
        <v/>
      </c>
      <c r="M41" s="175" t="str">
        <f t="shared" si="1"/>
        <v/>
      </c>
      <c r="N41" s="213" t="str">
        <f t="shared" si="2"/>
        <v/>
      </c>
      <c r="O41" s="222" t="str">
        <f>変更申請入力フォーム!B190&amp;""</f>
        <v/>
      </c>
    </row>
    <row r="42" spans="2:15" ht="18" customHeight="1" thickBot="1" x14ac:dyDescent="0.5">
      <c r="B42" s="467"/>
      <c r="C42" s="468"/>
      <c r="D42" s="468"/>
      <c r="E42" s="468"/>
      <c r="F42" s="469"/>
      <c r="G42" s="318"/>
      <c r="H42" s="319"/>
      <c r="I42" s="320" t="s">
        <v>172</v>
      </c>
      <c r="J42" s="321" t="str">
        <f>IF(SUM(J9:J41)&lt;&gt;0,SUM(J9:J41),"")</f>
        <v/>
      </c>
      <c r="K42" s="319"/>
      <c r="L42" s="320" t="s">
        <v>172</v>
      </c>
      <c r="M42" s="321" t="str">
        <f>IF(SUM(M9:M41)&lt;&gt;0,SUM(M9:M41),"")</f>
        <v/>
      </c>
      <c r="N42" s="191" t="str">
        <f>IF(J42&lt;&gt;"",SUM(N9:N41),"")</f>
        <v/>
      </c>
      <c r="O42" s="322"/>
    </row>
  </sheetData>
  <mergeCells count="13">
    <mergeCell ref="B42:F42"/>
    <mergeCell ref="I3:K3"/>
    <mergeCell ref="L3:O3"/>
    <mergeCell ref="B5:F6"/>
    <mergeCell ref="G5:G6"/>
    <mergeCell ref="H5:J5"/>
    <mergeCell ref="K5:M5"/>
    <mergeCell ref="D38:F38"/>
    <mergeCell ref="O5:O6"/>
    <mergeCell ref="D9:F9"/>
    <mergeCell ref="D13:F13"/>
    <mergeCell ref="D30:F30"/>
    <mergeCell ref="D34:F34"/>
  </mergeCells>
  <phoneticPr fontId="1"/>
  <dataValidations count="1">
    <dataValidation imeMode="off" allowBlank="1" showInputMessage="1" showErrorMessage="1" sqref="M37:M41 J38:J41 M7:M33 J7:J29" xr:uid="{00000000-0002-0000-0600-000000000000}"/>
  </dataValidations>
  <pageMargins left="0.35433070866141736" right="0.35433070866141736" top="0.23622047244094491" bottom="0.19685039370078741" header="0.11811023622047245" footer="0.11811023622047245"/>
  <pageSetup paperSize="9" scale="7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K207"/>
  <sheetViews>
    <sheetView zoomScale="85" zoomScaleNormal="85" workbookViewId="0">
      <selection activeCell="B17" sqref="B17"/>
    </sheetView>
  </sheetViews>
  <sheetFormatPr defaultRowHeight="18" outlineLevelCol="1" x14ac:dyDescent="0.45"/>
  <cols>
    <col min="1" max="1" width="50" customWidth="1"/>
    <col min="2" max="2" width="52.8984375" customWidth="1"/>
    <col min="3" max="3" width="147.09765625" bestFit="1" customWidth="1"/>
    <col min="4" max="4" width="0" hidden="1" customWidth="1" outlineLevel="1"/>
    <col min="5" max="5" width="53.3984375" hidden="1" customWidth="1" outlineLevel="1"/>
    <col min="6" max="7" width="29.796875" hidden="1" customWidth="1" outlineLevel="1"/>
    <col min="8" max="8" width="53.3984375" hidden="1" customWidth="1" outlineLevel="1"/>
    <col min="9" max="10" width="29.796875" hidden="1" customWidth="1" outlineLevel="1"/>
    <col min="11" max="11" width="8.796875" collapsed="1"/>
  </cols>
  <sheetData>
    <row r="2" spans="1:10" x14ac:dyDescent="0.45">
      <c r="A2" s="117" t="s">
        <v>138</v>
      </c>
      <c r="B2" s="575" t="str">
        <f>入力フォーム!B2&amp;""</f>
        <v/>
      </c>
      <c r="C2" t="s">
        <v>337</v>
      </c>
    </row>
    <row r="3" spans="1:10" x14ac:dyDescent="0.45">
      <c r="A3" s="117" t="s">
        <v>139</v>
      </c>
      <c r="B3" s="575" t="str">
        <f>入力フォーム!B3&amp;""</f>
        <v>単一</v>
      </c>
      <c r="F3" s="55">
        <v>200000</v>
      </c>
      <c r="G3" s="55">
        <v>300000</v>
      </c>
      <c r="H3" s="55">
        <v>500000</v>
      </c>
      <c r="I3" s="55">
        <v>1000000</v>
      </c>
      <c r="J3" s="55">
        <v>2000000</v>
      </c>
    </row>
    <row r="4" spans="1:10" x14ac:dyDescent="0.45">
      <c r="A4" s="117" t="s">
        <v>157</v>
      </c>
      <c r="B4" s="576" t="str">
        <f>TEXT(入力フォーム!B4&amp;"","〒000-0000")</f>
        <v/>
      </c>
      <c r="C4" t="s">
        <v>337</v>
      </c>
      <c r="F4" s="55"/>
      <c r="G4" s="55"/>
      <c r="H4" s="55"/>
      <c r="I4" s="55"/>
      <c r="J4" s="55"/>
    </row>
    <row r="5" spans="1:10" x14ac:dyDescent="0.45">
      <c r="A5" s="117" t="s">
        <v>158</v>
      </c>
      <c r="B5" s="575" t="str">
        <f>入力フォーム!B5&amp;""</f>
        <v/>
      </c>
      <c r="C5" t="s">
        <v>337</v>
      </c>
    </row>
    <row r="6" spans="1:10" x14ac:dyDescent="0.45">
      <c r="A6" s="117" t="s">
        <v>140</v>
      </c>
      <c r="B6" s="575" t="str">
        <f>入力フォーム!B6&amp;""</f>
        <v/>
      </c>
      <c r="C6" t="s">
        <v>337</v>
      </c>
    </row>
    <row r="7" spans="1:10" x14ac:dyDescent="0.45">
      <c r="A7" s="117" t="s">
        <v>141</v>
      </c>
      <c r="B7" s="575" t="str">
        <f>入力フォーム!B7&amp;""</f>
        <v/>
      </c>
      <c r="C7" t="s">
        <v>337</v>
      </c>
    </row>
    <row r="8" spans="1:10" x14ac:dyDescent="0.45">
      <c r="A8" s="117" t="s">
        <v>142</v>
      </c>
      <c r="B8" s="575" t="str">
        <f>入力フォーム!B8&amp;""</f>
        <v/>
      </c>
      <c r="C8" t="s">
        <v>337</v>
      </c>
    </row>
    <row r="9" spans="1:10" x14ac:dyDescent="0.45">
      <c r="A9" s="117" t="s">
        <v>143</v>
      </c>
      <c r="B9" s="575" t="str">
        <f>入力フォーム!B9&amp;""</f>
        <v/>
      </c>
      <c r="C9" t="s">
        <v>337</v>
      </c>
    </row>
    <row r="10" spans="1:10" x14ac:dyDescent="0.45">
      <c r="A10" s="117" t="s">
        <v>144</v>
      </c>
      <c r="B10" s="575" t="str">
        <f>入力フォーム!B10&amp;""</f>
        <v/>
      </c>
      <c r="C10" t="s">
        <v>337</v>
      </c>
    </row>
    <row r="11" spans="1:10" x14ac:dyDescent="0.45">
      <c r="A11" s="117" t="s">
        <v>159</v>
      </c>
      <c r="B11" s="575" t="str">
        <f>TEXT(入力フォーム!B11&amp;"","〒000-0000")</f>
        <v/>
      </c>
      <c r="C11" t="s">
        <v>337</v>
      </c>
    </row>
    <row r="12" spans="1:10" x14ac:dyDescent="0.45">
      <c r="A12" s="117" t="s">
        <v>160</v>
      </c>
      <c r="B12" s="575" t="str">
        <f>入力フォーム!B12&amp;""</f>
        <v/>
      </c>
      <c r="C12" t="s">
        <v>337</v>
      </c>
    </row>
    <row r="13" spans="1:10" x14ac:dyDescent="0.45">
      <c r="A13" s="117" t="s">
        <v>213</v>
      </c>
      <c r="B13" s="575" t="str">
        <f>入力フォーム!B13&amp;""</f>
        <v/>
      </c>
      <c r="C13" t="s">
        <v>337</v>
      </c>
    </row>
    <row r="14" spans="1:10" x14ac:dyDescent="0.45">
      <c r="A14" s="117" t="s">
        <v>214</v>
      </c>
      <c r="B14" s="575" t="str">
        <f>入力フォーム!B14&amp;""</f>
        <v/>
      </c>
      <c r="C14" t="s">
        <v>337</v>
      </c>
    </row>
    <row r="15" spans="1:10" x14ac:dyDescent="0.45">
      <c r="A15" s="117" t="s">
        <v>145</v>
      </c>
      <c r="B15" s="575" t="str">
        <f>入力フォーム!B15&amp;""</f>
        <v/>
      </c>
      <c r="C15" t="s">
        <v>337</v>
      </c>
    </row>
    <row r="16" spans="1:10" x14ac:dyDescent="0.45">
      <c r="A16" s="117" t="s">
        <v>146</v>
      </c>
      <c r="B16" s="575" t="str">
        <f>入力フォーム!B16&amp;""</f>
        <v/>
      </c>
      <c r="C16" t="s">
        <v>337</v>
      </c>
    </row>
    <row r="17" spans="1:4" x14ac:dyDescent="0.45">
      <c r="A17" s="13" t="s">
        <v>163</v>
      </c>
      <c r="B17" s="568"/>
      <c r="C17" t="s">
        <v>223</v>
      </c>
    </row>
    <row r="18" spans="1:4" x14ac:dyDescent="0.45">
      <c r="A18" t="s">
        <v>22</v>
      </c>
      <c r="B18" s="568"/>
      <c r="C18" t="s">
        <v>223</v>
      </c>
      <c r="D18" t="str">
        <f>TEXT(B18&amp;"","m月d日")</f>
        <v/>
      </c>
    </row>
    <row r="19" spans="1:4" x14ac:dyDescent="0.45">
      <c r="A19" t="s">
        <v>21</v>
      </c>
      <c r="B19" s="568"/>
      <c r="C19" t="s">
        <v>223</v>
      </c>
    </row>
    <row r="20" spans="1:4" ht="17.399999999999999" customHeight="1" x14ac:dyDescent="0.45">
      <c r="A20" s="13" t="s">
        <v>132</v>
      </c>
      <c r="B20" s="568"/>
      <c r="C20" t="s">
        <v>223</v>
      </c>
    </row>
    <row r="21" spans="1:4" ht="17.399999999999999" customHeight="1" x14ac:dyDescent="0.45">
      <c r="A21" s="13" t="s">
        <v>133</v>
      </c>
      <c r="B21" s="568"/>
      <c r="C21" t="s">
        <v>223</v>
      </c>
    </row>
    <row r="22" spans="1:4" ht="17.399999999999999" customHeight="1" x14ac:dyDescent="0.45">
      <c r="A22" s="117" t="s">
        <v>312</v>
      </c>
      <c r="B22" s="315" t="str">
        <f>IF(B18="", "",IF(B20="", "", IF(B20&lt;B18,B20,B18)))</f>
        <v/>
      </c>
      <c r="D22" t="str">
        <f>TEXT(B22&amp;"","ggge年m月d日")</f>
        <v/>
      </c>
    </row>
    <row r="23" spans="1:4" ht="17.399999999999999" customHeight="1" x14ac:dyDescent="0.45">
      <c r="A23" s="117" t="s">
        <v>313</v>
      </c>
      <c r="B23" s="315" t="str">
        <f>IF(B19="", "", IF(B21="", "",IF(B21&gt;B19,B21,B19)))</f>
        <v/>
      </c>
      <c r="D23" t="str">
        <f>TEXT(B23&amp;"","ggge年m月d日")</f>
        <v/>
      </c>
    </row>
    <row r="24" spans="1:4" x14ac:dyDescent="0.45">
      <c r="A24" t="s">
        <v>314</v>
      </c>
      <c r="B24" s="571"/>
    </row>
    <row r="25" spans="1:4" x14ac:dyDescent="0.45">
      <c r="A25" t="s">
        <v>278</v>
      </c>
      <c r="B25" s="577"/>
      <c r="C25" t="s">
        <v>223</v>
      </c>
      <c r="D25" t="str">
        <f>TEXT(B25&amp;"","ggge年m月d日")</f>
        <v/>
      </c>
    </row>
    <row r="26" spans="1:4" x14ac:dyDescent="0.45">
      <c r="A26" t="s">
        <v>104</v>
      </c>
      <c r="B26" s="236" t="s">
        <v>26</v>
      </c>
    </row>
    <row r="27" spans="1:4" ht="36" x14ac:dyDescent="0.45">
      <c r="A27" s="114" t="s">
        <v>310</v>
      </c>
      <c r="B27" s="562"/>
      <c r="C27" t="s">
        <v>181</v>
      </c>
    </row>
    <row r="28" spans="1:4" x14ac:dyDescent="0.45">
      <c r="A28" s="114" t="s">
        <v>311</v>
      </c>
      <c r="B28" s="562"/>
      <c r="C28" t="s">
        <v>181</v>
      </c>
    </row>
    <row r="29" spans="1:4" x14ac:dyDescent="0.45">
      <c r="A29" s="314" t="str">
        <f>IF(B28="","－", "（その他の具体的な内容）")</f>
        <v>－</v>
      </c>
      <c r="B29" s="115"/>
      <c r="C29" t="s">
        <v>182</v>
      </c>
    </row>
    <row r="30" spans="1:4" ht="36" customHeight="1" x14ac:dyDescent="0.45">
      <c r="A30" s="316" t="str">
        <f>IF(入力フォーム!A31="↓","↓",入力フォーム!A31&amp;"（申請時の内容が自動転記）")</f>
        <v>共同実施団体・連携実施団体名１（申請時の内容が自動転記）</v>
      </c>
      <c r="B30" s="575" t="str">
        <f>入力フォーム!B31&amp;""</f>
        <v/>
      </c>
    </row>
    <row r="31" spans="1:4" ht="36" customHeight="1" x14ac:dyDescent="0.45">
      <c r="A31" s="316" t="str">
        <f>IF(入力フォーム!B36="", "↓",入力フォーム!A36&amp;"（申請時の内容が自動転記）")</f>
        <v>↓</v>
      </c>
      <c r="B31" s="575" t="str">
        <f>入力フォーム!B36&amp;""</f>
        <v/>
      </c>
    </row>
    <row r="32" spans="1:4" ht="36" customHeight="1" x14ac:dyDescent="0.45">
      <c r="A32" s="316" t="str">
        <f>IF(入力フォーム!B41="","↓",入力フォーム!A41&amp;"（申請時の内容が自動転記）")</f>
        <v>↓</v>
      </c>
      <c r="B32" s="575" t="str">
        <f>入力フォーム!B41&amp;""</f>
        <v/>
      </c>
    </row>
    <row r="33" spans="1:3" ht="36" customHeight="1" x14ac:dyDescent="0.45">
      <c r="A33" s="316" t="str">
        <f>IF(入力フォーム!B46="","↓",入力フォーム!A46&amp;"（申請時の内容が自動転記）")</f>
        <v>↓</v>
      </c>
      <c r="B33" s="575" t="str">
        <f>入力フォーム!B46&amp;""</f>
        <v/>
      </c>
    </row>
    <row r="34" spans="1:3" ht="36" customHeight="1" x14ac:dyDescent="0.45">
      <c r="A34" s="316" t="str">
        <f>IF(入力フォーム!B51="","↓",入力フォーム!A51&amp;"（申請時の内容が自動転記）")</f>
        <v>↓</v>
      </c>
      <c r="B34" s="575" t="str">
        <f>入力フォーム!B52&amp;""</f>
        <v/>
      </c>
    </row>
    <row r="35" spans="1:3" ht="36" customHeight="1" x14ac:dyDescent="0.45">
      <c r="A35" s="316" t="str">
        <f>IF(入力フォーム!B56="","↓",入力フォーム!A56&amp;"（申請時の内容が自動転記）")</f>
        <v>↓</v>
      </c>
      <c r="B35" s="575" t="str">
        <f>入力フォーム!B53&amp;""</f>
        <v/>
      </c>
    </row>
    <row r="36" spans="1:3" ht="36" customHeight="1" x14ac:dyDescent="0.45">
      <c r="A36" s="316" t="str">
        <f>IF(入力フォーム!B61="","↓",入力フォーム!A61&amp;"（申請時の内容が自動転記）")</f>
        <v>↓</v>
      </c>
      <c r="B36" s="575" t="str">
        <f>入力フォーム!B54&amp;""</f>
        <v/>
      </c>
    </row>
    <row r="37" spans="1:3" ht="35.4" customHeight="1" x14ac:dyDescent="0.45">
      <c r="A37" s="114" t="s">
        <v>175</v>
      </c>
      <c r="B37" s="573"/>
      <c r="C37" t="s">
        <v>28</v>
      </c>
    </row>
    <row r="38" spans="1:3" ht="35.4" customHeight="1" x14ac:dyDescent="0.45">
      <c r="A38" s="114" t="str">
        <f>IF(B37="はい",IF(入力フォーム!B147="","↓", "収支予算書に計上された「"&amp;入力フォーム!B147&amp;"」の支出はありますか"),IF(B37="いいえ","↓","↓"))</f>
        <v>↓</v>
      </c>
      <c r="B38" s="573"/>
      <c r="C38" t="s">
        <v>28</v>
      </c>
    </row>
    <row r="39" spans="1:3" ht="35.4" customHeight="1" x14ac:dyDescent="0.45">
      <c r="A39" s="114" t="str">
        <f>IF(B37="はい",IF(入力フォーム!B150="","↓", "収支予算書に計上された「"&amp;入力フォーム!B150&amp;"」の支出はありますか"),IF(B37="いいえ","↓","↓"))</f>
        <v>↓</v>
      </c>
      <c r="B39" s="573"/>
      <c r="C39" t="s">
        <v>28</v>
      </c>
    </row>
    <row r="40" spans="1:3" ht="35.4" customHeight="1" x14ac:dyDescent="0.45">
      <c r="A40" s="114" t="str">
        <f>IF(B37="はい",IF(入力フォーム!B153="","↓", "収支予算書に計上された「"&amp;入力フォーム!B153&amp;"」の支出はありますか"),IF(B37="いいえ","↓","↓"))</f>
        <v>↓</v>
      </c>
      <c r="B40" s="573"/>
      <c r="C40" t="s">
        <v>28</v>
      </c>
    </row>
    <row r="41" spans="1:3" ht="35.4" customHeight="1" x14ac:dyDescent="0.45">
      <c r="A41" s="114" t="str">
        <f>IF(B37="はい",IF(入力フォーム!B156="","↓", "収支予算書に計上された「"&amp;入力フォーム!B156&amp;"」の支出はありますか"),IF(B37="いいえ","↓","↓"))</f>
        <v>↓</v>
      </c>
      <c r="B41" s="573"/>
      <c r="C41" t="s">
        <v>28</v>
      </c>
    </row>
    <row r="42" spans="1:3" ht="35.4" customHeight="1" x14ac:dyDescent="0.45">
      <c r="A42" t="str">
        <f>IF(B37="","↓",IF(B37="いいえ","↓（謝礼金１の支出内容）",IF(B38="","↓（謝礼金１の支出内容）",IF(B38="はい","謝礼金１の支出内容","↓（謝礼金１の支出内容）"))))</f>
        <v>↓</v>
      </c>
      <c r="B42" s="573" t="str">
        <f>IF(B38="はい", 収支予算書!G17,"")</f>
        <v/>
      </c>
      <c r="C42" t="s">
        <v>338</v>
      </c>
    </row>
    <row r="43" spans="1:3" ht="35.4" customHeight="1" x14ac:dyDescent="0.45">
      <c r="A43" t="str">
        <f>IF(B37="","↓",IF(B37="いいえ","↓（謝礼金１の決算額）",IF(B38="","↓（謝礼金１の決算額）",IF(B38="はい","謝礼金１の決算額","↓（謝礼金１の決算額）"))))</f>
        <v>↓</v>
      </c>
      <c r="B43" s="573" t="str">
        <f>IF(B38="はい", 収支予算書!J17,"")</f>
        <v/>
      </c>
      <c r="C43" t="s">
        <v>338</v>
      </c>
    </row>
    <row r="44" spans="1:3" ht="35.4" customHeight="1" x14ac:dyDescent="0.45">
      <c r="A44" t="str">
        <f>IF(B37="","↓",IF(B37="いいえ","↓（謝礼金１の領収書番号）",IF(B38="","↓（謝礼金１の領収書番号）",IF(B38="はい","謝礼金１の領収書番号","↓（謝礼金１の領収書番号）"))))</f>
        <v>↓</v>
      </c>
      <c r="B44" s="573"/>
    </row>
    <row r="45" spans="1:3" ht="35.4" customHeight="1" x14ac:dyDescent="0.45">
      <c r="A45" t="str">
        <f>IF(B37="","↓",IF(B37="いいえ","↓（謝礼金２の支出内容）",IF(B39="","↓（謝礼金２の支出内容）",IF(B39="はい","謝礼金２の支出内容","↓（謝礼金２の支出内容）"))))</f>
        <v>↓</v>
      </c>
      <c r="B45" s="573" t="str">
        <f>IF(B39="はい", 収支予算書!G18,"")</f>
        <v/>
      </c>
      <c r="C45" t="s">
        <v>338</v>
      </c>
    </row>
    <row r="46" spans="1:3" ht="35.4" customHeight="1" x14ac:dyDescent="0.45">
      <c r="A46" t="str">
        <f>IF(B37="","↓",IF(B37="いいえ","↓（謝礼金２の決算額）",IF(B39="","↓（謝礼金２の決算額）",IF(B39="はい","謝礼金２の決算額","↓（謝礼金２の決算額）"))))</f>
        <v>↓</v>
      </c>
      <c r="B46" s="573" t="str">
        <f>IF(B39="はい", 収支予算書!J18,"")</f>
        <v/>
      </c>
      <c r="C46" t="s">
        <v>338</v>
      </c>
    </row>
    <row r="47" spans="1:3" ht="35.4" customHeight="1" x14ac:dyDescent="0.45">
      <c r="A47" t="str">
        <f>IF(B37="","↓",IF(B37="いいえ","↓（謝礼金２の領収書番号）",IF(B39="","↓（謝礼金２の領収書番号）",IF(B39="はい","謝礼金２の領収書番号","↓（謝礼金２の領収書番号）"))))</f>
        <v>↓</v>
      </c>
      <c r="B47" s="573"/>
    </row>
    <row r="48" spans="1:3" ht="35.4" customHeight="1" x14ac:dyDescent="0.45">
      <c r="A48" t="str">
        <f>IF(B37="","↓",IF(B37="いいえ","↓（謝礼金３の支出内容）",IF(B40="","↓（謝礼金３の支出内容）",IF(B40="はい","謝礼金３の支出内容","↓（謝礼金３の支出内容）"))))</f>
        <v>↓</v>
      </c>
      <c r="B48" s="573" t="str">
        <f>IF(B40="はい", 収支予算書!G19,"")</f>
        <v/>
      </c>
      <c r="C48" t="s">
        <v>338</v>
      </c>
    </row>
    <row r="49" spans="1:3" ht="35.4" customHeight="1" x14ac:dyDescent="0.45">
      <c r="A49" t="str">
        <f>IF(B37="","↓",IF(B37="いいえ","↓（謝礼金３の決算額）",IF(B40="","↓（謝礼金３の決算額）",IF(B40="はい","謝礼金３の決算額","↓（謝礼金３の決算額）"))))</f>
        <v>↓</v>
      </c>
      <c r="B49" s="573" t="str">
        <f>IF(B40="はい", 収支予算書!J19,"")</f>
        <v/>
      </c>
      <c r="C49" t="s">
        <v>338</v>
      </c>
    </row>
    <row r="50" spans="1:3" ht="35.4" customHeight="1" x14ac:dyDescent="0.45">
      <c r="A50" t="str">
        <f>IF(B37="","↓",IF(B37="いいえ","↓（謝礼金３の領収書番号）",IF(B40="","↓（謝礼金３の領収書番号）",IF(B40="はい","謝礼金３の領収書番号","↓（謝礼金３の領収書番号）"))))</f>
        <v>↓</v>
      </c>
      <c r="B50" s="573"/>
    </row>
    <row r="51" spans="1:3" ht="35.4" customHeight="1" x14ac:dyDescent="0.45">
      <c r="A51" t="str">
        <f>IF(B37="","↓",IF(B37="いいえ","↓（謝礼金４の支出内容）",IF(B41="","↓（謝礼金４の支出内容）",IF(B41="はい","謝礼金４の支出内容","↓（謝礼金４の支出内容）"))))</f>
        <v>↓</v>
      </c>
      <c r="B51" s="573" t="str">
        <f>IF(B41="はい", 収支予算書!G20,"")</f>
        <v/>
      </c>
      <c r="C51" t="s">
        <v>338</v>
      </c>
    </row>
    <row r="52" spans="1:3" ht="35.4" customHeight="1" x14ac:dyDescent="0.45">
      <c r="A52" t="str">
        <f>IF(B37="","↓",IF(B37="いいえ","↓（謝礼金４の決算額）",IF(B41="","↓（謝礼金４の決算額）",IF(B41="はい","謝礼金４の決算額","↓（謝礼金４の決算額）"))))</f>
        <v>↓</v>
      </c>
      <c r="B52" s="573" t="str">
        <f>IF(B41="はい", 収支予算書!J20,"")</f>
        <v/>
      </c>
      <c r="C52" t="s">
        <v>338</v>
      </c>
    </row>
    <row r="53" spans="1:3" ht="35.4" customHeight="1" x14ac:dyDescent="0.45">
      <c r="A53" t="str">
        <f>IF(B37="","↓",IF(B37="いいえ","↓（謝礼金４の領収書番号）",IF(B41="","↓（謝礼金４の領収書番号）",IF(B41="はい","謝礼金４の領収書番号","↓（謝礼金４の領収書番号）"))))</f>
        <v>↓</v>
      </c>
      <c r="B53" s="573"/>
    </row>
    <row r="54" spans="1:3" ht="35.4" customHeight="1" x14ac:dyDescent="0.45">
      <c r="A54" s="114" t="s">
        <v>176</v>
      </c>
      <c r="B54" s="573"/>
      <c r="C54" t="s">
        <v>28</v>
      </c>
    </row>
    <row r="55" spans="1:3" ht="35.4" customHeight="1" x14ac:dyDescent="0.45">
      <c r="A55" s="114" t="str">
        <f>IF(B54="はい",IF(入力フォーム!B160="","↓", "収支予算書に計上された「"&amp;入力フォーム!B160&amp;"」の支出はありますか"),IF(B54="いいえ","↓","↓"))</f>
        <v>↓</v>
      </c>
      <c r="B55" s="573"/>
      <c r="C55" t="s">
        <v>28</v>
      </c>
    </row>
    <row r="56" spans="1:3" ht="35.4" customHeight="1" x14ac:dyDescent="0.45">
      <c r="A56" s="114" t="str">
        <f>IF(B54="はい",IF(入力フォーム!B163="","↓", "収支予算書に計上された「"&amp;入力フォーム!B163&amp;"」の支出はありますか"),IF(B54="いいえ","↓","↓"))</f>
        <v>↓</v>
      </c>
      <c r="B56" s="573"/>
      <c r="C56" t="s">
        <v>28</v>
      </c>
    </row>
    <row r="57" spans="1:3" ht="35.4" customHeight="1" x14ac:dyDescent="0.45">
      <c r="A57" s="114" t="str">
        <f>IF(B54="はい",IF(入力フォーム!B166="","↓", "収支予算書に計上された「"&amp;入力フォーム!B166&amp;"」の支出はありますか"),IF(B54="いいえ","↓","↓"))</f>
        <v>↓</v>
      </c>
      <c r="B57" s="573"/>
      <c r="C57" t="s">
        <v>28</v>
      </c>
    </row>
    <row r="58" spans="1:3" ht="35.4" customHeight="1" x14ac:dyDescent="0.45">
      <c r="A58" s="114" t="str">
        <f>IF(B54="はい",IF(入力フォーム!B169="","↓", "収支予算書に計上された「"&amp;入力フォーム!B169&amp;"」の支出はありますか"),IF(B54="いいえ","↓","↓"))</f>
        <v>↓</v>
      </c>
      <c r="B58" s="573"/>
      <c r="C58" t="s">
        <v>28</v>
      </c>
    </row>
    <row r="59" spans="1:3" ht="35.4" customHeight="1" x14ac:dyDescent="0.45">
      <c r="A59" s="114" t="str">
        <f>IF(B54="はい",IF(入力フォーム!B172="","↓", "収支予算書に計上された「"&amp;入力フォーム!B172&amp;"」の支出はありますか"),IF(B54="いいえ","↓","↓"))</f>
        <v>↓</v>
      </c>
      <c r="B59" s="573"/>
      <c r="C59" t="s">
        <v>28</v>
      </c>
    </row>
    <row r="60" spans="1:3" ht="35.4" customHeight="1" x14ac:dyDescent="0.45">
      <c r="A60" s="114" t="str">
        <f>IF(B54="はい",IF(入力フォーム!B175="","↓", "収支予算書に計上された「"&amp;入力フォーム!B175&amp;"」の支出はありますか"),IF(B54="いいえ","↓","↓"))</f>
        <v>↓</v>
      </c>
      <c r="B60" s="573"/>
      <c r="C60" t="s">
        <v>28</v>
      </c>
    </row>
    <row r="61" spans="1:3" ht="35.4" customHeight="1" x14ac:dyDescent="0.45">
      <c r="A61" s="114" t="str">
        <f>IF(B54="はい",IF(入力フォーム!B178="","↓", "収支予算書に計上された「"&amp;入力フォーム!B178&amp;"」の支出はありますか"),IF(B54="いいえ","↓","↓"))</f>
        <v>↓</v>
      </c>
      <c r="B61" s="573"/>
      <c r="C61" t="s">
        <v>28</v>
      </c>
    </row>
    <row r="62" spans="1:3" ht="35.4" customHeight="1" x14ac:dyDescent="0.45">
      <c r="A62" s="114" t="str">
        <f>IF(B54="はい",IF(入力フォーム!B181="","↓", "収支予算書に計上された「"&amp;入力フォーム!B181&amp;"」の支出はありますか"),IF(B54="いいえ","↓","↓"))</f>
        <v>↓</v>
      </c>
      <c r="B62" s="573"/>
      <c r="C62" t="s">
        <v>28</v>
      </c>
    </row>
    <row r="63" spans="1:3" ht="35.4" customHeight="1" x14ac:dyDescent="0.45">
      <c r="A63" s="114" t="str">
        <f>IF(B54="はい",IF(入力フォーム!B184="","↓", "収支予算書に計上された「"&amp;入力フォーム!B184&amp;"」の支出はありますか"),IF(B54="いいえ","↓","↓"))</f>
        <v>↓</v>
      </c>
      <c r="B63" s="573"/>
      <c r="C63" t="s">
        <v>28</v>
      </c>
    </row>
    <row r="64" spans="1:3" ht="35.4" customHeight="1" x14ac:dyDescent="0.45">
      <c r="A64" s="114" t="str">
        <f>IF(B54="はい",IF(入力フォーム!B187="","↓", "収支予算書に計上された「"&amp;入力フォーム!B187&amp;"」の支出はありますか"),IF(B54="いいえ","↓","↓"))</f>
        <v>↓</v>
      </c>
      <c r="B64" s="573"/>
      <c r="C64" t="s">
        <v>28</v>
      </c>
    </row>
    <row r="65" spans="1:3" ht="35.4" customHeight="1" x14ac:dyDescent="0.45">
      <c r="A65" s="114" t="str">
        <f>IF(B54="はい",IF(入力フォーム!B190="","↓", "収支予算書に計上された「"&amp;入力フォーム!B190&amp;"」の支出はありますか"),IF(B54="いいえ","↓","↓"))</f>
        <v>↓</v>
      </c>
      <c r="B65" s="573"/>
      <c r="C65" t="s">
        <v>28</v>
      </c>
    </row>
    <row r="66" spans="1:3" ht="35.4" customHeight="1" x14ac:dyDescent="0.45">
      <c r="A66" s="114" t="str">
        <f>IF(B54="はい",IF(入力フォーム!B193="","↓", "収支予算書に計上された「"&amp;入力フォーム!B193&amp;"」の支出はありますか"),IF(B54="いいえ","↓","↓"))</f>
        <v>↓</v>
      </c>
      <c r="B66" s="573"/>
      <c r="C66" t="s">
        <v>28</v>
      </c>
    </row>
    <row r="67" spans="1:3" ht="35.4" customHeight="1" x14ac:dyDescent="0.45">
      <c r="A67" s="114" t="str">
        <f>IF(B54="はい",IF(入力フォーム!B196="","↓", "収支予算書に計上された「"&amp;入力フォーム!B196&amp;"」の支出はありますか"),IF(B54="いいえ","↓","↓"))</f>
        <v>↓</v>
      </c>
      <c r="B67" s="573"/>
      <c r="C67" t="s">
        <v>28</v>
      </c>
    </row>
    <row r="68" spans="1:3" ht="35.4" customHeight="1" x14ac:dyDescent="0.45">
      <c r="A68" s="114" t="str">
        <f>IF(B54="はい",IF(入力フォーム!B199="","↓", "収支予算書に計上された「"&amp;入力フォーム!B199&amp;"」の支出はありますか"),IF(B54="いいえ","↓","↓"))</f>
        <v>↓</v>
      </c>
      <c r="B68" s="573"/>
      <c r="C68" t="s">
        <v>28</v>
      </c>
    </row>
    <row r="69" spans="1:3" ht="35.4" customHeight="1" x14ac:dyDescent="0.45">
      <c r="A69" s="114" t="str">
        <f>IF(B54="はい",IF(入力フォーム!B202="","↓", "収支予算書に計上された「"&amp;入力フォーム!B202&amp;"」の支出はありますか"),IF(B54="いいえ","↓","↓"))</f>
        <v>↓</v>
      </c>
      <c r="B69" s="573"/>
      <c r="C69" t="s">
        <v>28</v>
      </c>
    </row>
    <row r="70" spans="1:3" ht="35.4" customHeight="1" x14ac:dyDescent="0.45">
      <c r="A70" s="114" t="str">
        <f>IF(B54="はい",IF(入力フォーム!B205="","↓", "収支予算書に計上された「"&amp;入力フォーム!B205&amp;"」の支出はありますか"),IF(B54="いいえ","↓","↓"))</f>
        <v>↓</v>
      </c>
      <c r="B70" s="573"/>
      <c r="C70" t="s">
        <v>28</v>
      </c>
    </row>
    <row r="71" spans="1:3" ht="35.4" customHeight="1" x14ac:dyDescent="0.45">
      <c r="A71" s="114" t="str">
        <f>IF(B54="はい",IF(入力フォーム!B208="","↓", "収支予算書に計上された「"&amp;入力フォーム!B208&amp;"」の支出はありますか"),IF(B54="いいえ","↓","↓"))</f>
        <v>↓</v>
      </c>
      <c r="B71" s="573"/>
      <c r="C71" t="s">
        <v>28</v>
      </c>
    </row>
    <row r="72" spans="1:3" ht="35.4" customHeight="1" x14ac:dyDescent="0.45">
      <c r="A72" s="13" t="str">
        <f>IF(B54="","↓",IF(B54="いいえ","↓（物品購入費１の支出内容）",IF(B55="","↓（物品購入費１の支出内容）",IF(B55="はい","物品購入費１の支出内容（例：プロジェクター）)","↓（物品購入費１の支出内容）"))))</f>
        <v>↓</v>
      </c>
      <c r="B72" s="573" t="str">
        <f>IF(B55="はい", 収支予算書!G21,"")</f>
        <v/>
      </c>
      <c r="C72" t="s">
        <v>338</v>
      </c>
    </row>
    <row r="73" spans="1:3" ht="35.4" customHeight="1" x14ac:dyDescent="0.45">
      <c r="A73" t="str">
        <f>IF(B54="","↓",IF(B54="いいえ","↓（物品購入費１の決算額）",IF(B55="","↓（物品購入費１の決算額）",IF(B55="はい","物品購入費１の決算額","↓（物品購入費１の決算額）"))))</f>
        <v>↓</v>
      </c>
      <c r="B73" s="573" t="str">
        <f>IF(B55="はい", 収支予算書!J21,"")</f>
        <v/>
      </c>
      <c r="C73" t="s">
        <v>338</v>
      </c>
    </row>
    <row r="74" spans="1:3" ht="35.4" customHeight="1" x14ac:dyDescent="0.45">
      <c r="A74" t="str">
        <f>IF(B54="","↓",IF(B54="いいえ","↓（物品購入費１の領収書番号）",IF(B55="","↓（物品購入費１の領収書番号）",IF(B55="はい","物品購入費１の領収書番号","↓（物品購入費１の領収書番号）"))))</f>
        <v>↓</v>
      </c>
      <c r="B74" s="573"/>
    </row>
    <row r="75" spans="1:3" ht="35.4" customHeight="1" x14ac:dyDescent="0.45">
      <c r="A75" t="str">
        <f>IF(B54="","↓",IF(B54="いいえ","↓（物品購入費２の支出内容）",IF(B56="","↓（物品購入費２の支出内容）",IF(B56="はい","物品購入費２の支出内容","↓（物品購入費２の支出内容）"))))</f>
        <v>↓</v>
      </c>
      <c r="B75" s="573" t="str">
        <f>IF(B56="はい", 収支予算書!G22,"")</f>
        <v/>
      </c>
      <c r="C75" t="s">
        <v>338</v>
      </c>
    </row>
    <row r="76" spans="1:3" ht="35.4" customHeight="1" x14ac:dyDescent="0.45">
      <c r="A76" t="str">
        <f>IF(B54="","↓",IF(B54="いいえ","↓（物品購入費２の決算額）",IF(B56="","↓（物品購入費２の決算額）",IF(B56="はい","物品購入費２の決算額","↓（物品購入費２の決算額）"))))</f>
        <v>↓</v>
      </c>
      <c r="B76" s="573" t="str">
        <f>IF(B56="はい", 収支予算書!J22,"")</f>
        <v/>
      </c>
      <c r="C76" t="s">
        <v>338</v>
      </c>
    </row>
    <row r="77" spans="1:3" ht="35.4" customHeight="1" x14ac:dyDescent="0.45">
      <c r="A77" t="str">
        <f>IF(B54="","↓",IF(B54="いいえ","↓（物品購入費２の領収書番号）",IF(B56="","↓（物品購入費２の領収書番号）",IF(B56="はい","物品購入費２の領収書番号","↓（物品購入費２の領収書番号）"))))</f>
        <v>↓</v>
      </c>
      <c r="B77" s="573"/>
    </row>
    <row r="78" spans="1:3" ht="35.4" customHeight="1" x14ac:dyDescent="0.45">
      <c r="A78" t="str">
        <f>IF(B54="","↓",IF(B54="いいえ","↓（物品購入費３の支出内容）",IF(B57="","↓（物品購入費３の支出内容）",IF(B57="はい","物品購入費３の支出内容","↓（物品購入費３の支出内容）"))))</f>
        <v>↓</v>
      </c>
      <c r="B78" s="573" t="str">
        <f>IF(B57="はい", 収支予算書!G23,"")</f>
        <v/>
      </c>
      <c r="C78" t="s">
        <v>338</v>
      </c>
    </row>
    <row r="79" spans="1:3" ht="35.4" customHeight="1" x14ac:dyDescent="0.45">
      <c r="A79" t="str">
        <f>IF(B54="","↓",IF(B54="いいえ","↓（物品購入費３の決算額）",IF(B57="","↓（物品購入費３の決算額）",IF(B57="はい","物品購入費３の決算額","↓（物品購入費３の決算額）"))))</f>
        <v>↓</v>
      </c>
      <c r="B79" s="573" t="str">
        <f>IF(B57="はい", 収支予算書!J23,"")</f>
        <v/>
      </c>
      <c r="C79" t="s">
        <v>338</v>
      </c>
    </row>
    <row r="80" spans="1:3" ht="35.4" customHeight="1" x14ac:dyDescent="0.45">
      <c r="A80" t="str">
        <f>IF(B54="","↓",IF(B54="いいえ","↓（物品購入費３の領収書番号）",IF(B57="","↓（物品購入費３の領収書番号）",IF(B57="はい","物品購入費３の領収書番号","↓（物品購入費３の領収書番号）"))))</f>
        <v>↓</v>
      </c>
      <c r="B80" s="573"/>
    </row>
    <row r="81" spans="1:3" ht="35.4" customHeight="1" x14ac:dyDescent="0.45">
      <c r="A81" t="str">
        <f>IF(B54="","↓",IF(B54="いいえ","↓（物品購入費４の支出内容）",IF(B58="","↓（物品購入費４の支出内容）",IF(B58="はい","物品購入費４の支出内容","↓（物品購入費４の支出内容）"))))</f>
        <v>↓</v>
      </c>
      <c r="B81" s="573" t="str">
        <f>IF(B58="はい", 収支予算書!G24,"")</f>
        <v/>
      </c>
      <c r="C81" t="s">
        <v>338</v>
      </c>
    </row>
    <row r="82" spans="1:3" ht="35.4" customHeight="1" x14ac:dyDescent="0.45">
      <c r="A82" t="str">
        <f>IF(B54="","↓",IF(B54="いいえ","↓（物品購入費４の決算額）",IF(B58="","↓（物品購入費４の決算額）",IF(B58="はい","物品購入費４の決算額","↓（物品購入費４の決算額）"))))</f>
        <v>↓</v>
      </c>
      <c r="B82" s="573" t="str">
        <f>IF(B58="はい", 収支予算書!J24,"")</f>
        <v/>
      </c>
      <c r="C82" t="s">
        <v>338</v>
      </c>
    </row>
    <row r="83" spans="1:3" ht="35.4" customHeight="1" x14ac:dyDescent="0.45">
      <c r="A83" t="str">
        <f>IF(B54="","↓",IF(B54="いいえ","↓（物品購入費４の領収書番号）",IF(B58="","↓（物品購入費４の領収書番号）",IF(B58="はい","物品購入費４の領収書番号","↓（物品購入費４の領収書番号）"))))</f>
        <v>↓</v>
      </c>
      <c r="B83" s="573"/>
    </row>
    <row r="84" spans="1:3" ht="35.4" customHeight="1" x14ac:dyDescent="0.45">
      <c r="A84" t="str">
        <f>IF(B54="","↓",IF(B54="いいえ","↓（物品購入費５の支出内容）",IF(B59="","↓（物品購入費５の支出内容）",IF(B59="はい","物品購入費５の支出内容","↓（物品購入費５の支出内容）"))))</f>
        <v>↓</v>
      </c>
      <c r="B84" s="573" t="str">
        <f>IF(B59="はい", 収支予算書!G25,"")</f>
        <v/>
      </c>
      <c r="C84" t="s">
        <v>338</v>
      </c>
    </row>
    <row r="85" spans="1:3" ht="35.4" customHeight="1" x14ac:dyDescent="0.45">
      <c r="A85" t="str">
        <f>IF(B54="","↓",IF(B54="いいえ","↓（物品購入費５の決算額）",IF(B59="","↓（物品購入費５の決算額）",IF(B59="はい","物品購入費５の決算額","↓（物品購入費５の決算額）"))))</f>
        <v>↓</v>
      </c>
      <c r="B85" s="573" t="str">
        <f>IF(B59="はい", 収支予算書!J25,"")</f>
        <v/>
      </c>
      <c r="C85" t="s">
        <v>338</v>
      </c>
    </row>
    <row r="86" spans="1:3" ht="35.4" customHeight="1" x14ac:dyDescent="0.45">
      <c r="A86" t="str">
        <f>IF(B54="","↓",IF(B54="いいえ","↓（物品購入費５の領収書番号）",IF(B59="","↓（物品購入費５の領収書番号）",IF(B59="はい","物品購入費５の領収書番号","↓（物品購入費５の領収書番号）"))))</f>
        <v>↓</v>
      </c>
      <c r="B86" s="573"/>
    </row>
    <row r="87" spans="1:3" ht="35.4" customHeight="1" x14ac:dyDescent="0.45">
      <c r="A87" t="str">
        <f>IF(B54="","↓",IF(B54="いいえ","↓（物品購入費６の支出内容）",IF(B60="","↓（物品購入費６の支出内容）",IF(B60="はい","物品購入費６の支出内容","↓（物品購入費６の支出内容）"))))</f>
        <v>↓</v>
      </c>
      <c r="B87" s="573" t="str">
        <f>IF(B60="はい", 収支予算書!G26,"")</f>
        <v/>
      </c>
      <c r="C87" t="s">
        <v>338</v>
      </c>
    </row>
    <row r="88" spans="1:3" ht="35.4" customHeight="1" x14ac:dyDescent="0.45">
      <c r="A88" t="str">
        <f>IF(B54="","↓",IF(B54="いいえ","↓（物品購入費６の決算額）",IF(B60="","↓（物品購入費６の決算額）",IF(B60="はい","物品購入費６の決算額","↓（物品購入費６の決算額）"))))</f>
        <v>↓</v>
      </c>
      <c r="B88" s="573" t="str">
        <f>IF(B60="はい", 収支予算書!J26,"")</f>
        <v/>
      </c>
      <c r="C88" t="s">
        <v>338</v>
      </c>
    </row>
    <row r="89" spans="1:3" ht="35.4" customHeight="1" x14ac:dyDescent="0.45">
      <c r="A89" t="str">
        <f>IF(B54="","↓",IF(B54="いいえ","↓（物品購入費６の領収書番号）",IF(B60="","↓（物品購入費６の領収書番号）",IF(B60="はい","物品購入費６の領収書番号","↓（物品購入費６の領収書番号）"))))</f>
        <v>↓</v>
      </c>
      <c r="B89" s="573"/>
    </row>
    <row r="90" spans="1:3" ht="35.4" customHeight="1" x14ac:dyDescent="0.45">
      <c r="A90" t="str">
        <f>IF(B54="","↓",IF(B54="いいえ","↓（物品購入費７の支出内容）",IF(B61="","↓（物品購入費７の支出内容）",IF(B61="はい","物品購入費７の支出内容","↓（物品購入費７の支出内容）"))))</f>
        <v>↓</v>
      </c>
      <c r="B90" s="573" t="str">
        <f>IF(B61="はい", 収支予算書!G27,"")</f>
        <v/>
      </c>
      <c r="C90" t="s">
        <v>338</v>
      </c>
    </row>
    <row r="91" spans="1:3" ht="35.4" customHeight="1" x14ac:dyDescent="0.45">
      <c r="A91" t="str">
        <f>IF(B54="","↓",IF(B54="いいえ","↓（物品購入費７の決算額）",IF(B61="","↓（物品購入費７の決算額）",IF(B61="はい","物品購入費７の決算額","↓（物品購入費７の決算額）"))))</f>
        <v>↓</v>
      </c>
      <c r="B91" s="573" t="str">
        <f>IF(B61="はい", 収支予算書!J27,"")</f>
        <v/>
      </c>
      <c r="C91" t="s">
        <v>338</v>
      </c>
    </row>
    <row r="92" spans="1:3" ht="35.4" customHeight="1" x14ac:dyDescent="0.45">
      <c r="A92" t="str">
        <f>IF(B54="","↓",IF(B54="いいえ","↓（物品購入費７の領収書番号）",IF(B61="","↓（物品購入費７の領収書番号）",IF(B61="はい","物品購入費７の領収書番号","↓（物品購入費７の領収書番号）"))))</f>
        <v>↓</v>
      </c>
      <c r="B92" s="573"/>
    </row>
    <row r="93" spans="1:3" ht="35.4" customHeight="1" x14ac:dyDescent="0.45">
      <c r="A93" t="str">
        <f>IF(B54="","↓",IF(B54="いいえ","↓（物品購入費８の支出内容）",IF(B62="","↓（物品購入費８の支出内容）",IF(B62="はい","物品購入費８の支出内容","↓（物品購入費８の支出内容）"))))</f>
        <v>↓</v>
      </c>
      <c r="B93" s="573" t="str">
        <f>IF(B62="はい", 収支予算書!G28,"")</f>
        <v/>
      </c>
      <c r="C93" t="s">
        <v>338</v>
      </c>
    </row>
    <row r="94" spans="1:3" ht="35.4" customHeight="1" x14ac:dyDescent="0.45">
      <c r="A94" t="str">
        <f>IF(B54="","↓",IF(B54="いいえ","↓（物品購入費８の決算額）",IF(B62="","↓（物品購入費８の決算額）",IF(B62="はい","物品購入費８の決算額","↓（物品購入費８の決算額）"))))</f>
        <v>↓</v>
      </c>
      <c r="B94" s="573" t="str">
        <f>IF(B62="はい", 収支予算書!J28,"")</f>
        <v/>
      </c>
      <c r="C94" t="s">
        <v>338</v>
      </c>
    </row>
    <row r="95" spans="1:3" ht="35.4" customHeight="1" x14ac:dyDescent="0.45">
      <c r="A95" t="str">
        <f>IF(B54="","↓",IF(B54="いいえ","↓（物品購入費８の領収書番号）",IF(B62="","↓（物品購入費８の領収書番号）",IF(B62="はい","物品購入費８の領収書番号","↓（物品購入費８の領収書番号）"))))</f>
        <v>↓</v>
      </c>
      <c r="B95" s="573"/>
    </row>
    <row r="96" spans="1:3" ht="35.4" customHeight="1" x14ac:dyDescent="0.45">
      <c r="A96" t="str">
        <f>IF(B54="","↓",IF(B54="いいえ","↓（物品購入費９の支出内容）",IF(B63="","↓（物品購入費９の支出内容）",IF(B63="はい","物品購入費９の支出内容","↓（物品購入費９の支出内容）"))))</f>
        <v>↓</v>
      </c>
      <c r="B96" s="573" t="str">
        <f>IF(B63="はい", 収支予算書!G29,"")</f>
        <v/>
      </c>
      <c r="C96" t="s">
        <v>338</v>
      </c>
    </row>
    <row r="97" spans="1:3" ht="35.4" customHeight="1" x14ac:dyDescent="0.45">
      <c r="A97" t="str">
        <f>IF(B54="","↓",IF(B54="いいえ","↓（物品購入費９の決算額）",IF(B63="","↓（物品購入費９の決算額）",IF(B63="はい","物品購入費９の決算額","↓（物品購入費９の決算額）"))))</f>
        <v>↓</v>
      </c>
      <c r="B97" s="573" t="str">
        <f>IF(B63="はい", 収支予算書!J29,"")</f>
        <v/>
      </c>
      <c r="C97" t="s">
        <v>338</v>
      </c>
    </row>
    <row r="98" spans="1:3" ht="35.4" customHeight="1" x14ac:dyDescent="0.45">
      <c r="A98" t="str">
        <f>IF(B54="","↓",IF(B54="いいえ","↓（物品購入費９の領収書番号）",IF(B63="","↓（物品購入費９の領収書番号）",IF(B63="はい","物品購入費９の領収書番号","↓（物品購入費９の領収書番号）"))))</f>
        <v>↓</v>
      </c>
      <c r="B98" s="573"/>
    </row>
    <row r="99" spans="1:3" ht="35.4" customHeight="1" x14ac:dyDescent="0.45">
      <c r="A99" t="str">
        <f>IF(B54="","↓",IF(B54="いいえ","↓（物品購入費10の支出内容）",IF(B64="","↓（物品購入費10の支出内容）",IF(B64="はい","物品購入費10の支出内容","↓（物品購入費10の支出内容）"))))</f>
        <v>↓</v>
      </c>
      <c r="B99" s="573" t="str">
        <f>IF(B64="はい", 収支予算書!G30,"")</f>
        <v/>
      </c>
      <c r="C99" t="s">
        <v>338</v>
      </c>
    </row>
    <row r="100" spans="1:3" ht="35.4" customHeight="1" x14ac:dyDescent="0.45">
      <c r="A100" t="str">
        <f>IF(B54="","↓",IF(B54="いいえ","↓（物品購入費10の決算額）",IF(B64="","↓（物品購入費10の決算額）",IF(B64="はい","物品購入費10の決算額","↓（物品購入費10の決算額）"))))</f>
        <v>↓</v>
      </c>
      <c r="B100" s="573" t="str">
        <f>IF(B64="はい", 収支予算書!J30,"")</f>
        <v/>
      </c>
      <c r="C100" t="s">
        <v>338</v>
      </c>
    </row>
    <row r="101" spans="1:3" ht="35.4" customHeight="1" x14ac:dyDescent="0.45">
      <c r="A101" t="str">
        <f>IF(B54="","↓",IF(B54="いいえ","↓（物品購入費10の領収書番号）",IF(B64="","↓（物品購入費10の領収書番号）",IF(B64="はい","物品購入費10の領収書番号","↓（物品購入費10の領収書番号）"))))</f>
        <v>↓</v>
      </c>
      <c r="B101" s="573"/>
    </row>
    <row r="102" spans="1:3" ht="35.4" customHeight="1" x14ac:dyDescent="0.45">
      <c r="A102" t="str">
        <f>IF(B54="","↓",IF(B54="いいえ","↓（物品購入費11の支出内容）",IF(B65="","↓（物品購入費11の支出内容）",IF(B65="はい","物品購入費11の支出内容","↓（物品購入費11の支出内容）"))))</f>
        <v>↓</v>
      </c>
      <c r="B102" s="573" t="str">
        <f>IF(B65="はい", 収支予算書!G31,"")</f>
        <v/>
      </c>
      <c r="C102" t="s">
        <v>338</v>
      </c>
    </row>
    <row r="103" spans="1:3" ht="35.4" customHeight="1" x14ac:dyDescent="0.45">
      <c r="A103" t="str">
        <f>IF(B54="","↓",IF(B54="いいえ","↓（物品購入費11の決算額）",IF(B65="","↓（物品購入費11の決算額）",IF(B65="はい","物品購入費11の決算額","↓（物品購入費11の決算額）"))))</f>
        <v>↓</v>
      </c>
      <c r="B103" s="573" t="str">
        <f>IF(B65="はい", 収支予算書!J31,"")</f>
        <v/>
      </c>
      <c r="C103" t="s">
        <v>338</v>
      </c>
    </row>
    <row r="104" spans="1:3" ht="35.4" customHeight="1" x14ac:dyDescent="0.45">
      <c r="A104" t="str">
        <f>IF(B54="","↓",IF(B54="いいえ","↓（物品購入費11の領収書番号）",IF(B65="","↓（物品購入費11の領収書番号）",IF(B65="はい","物品購入費11の領収書番号","↓（物品購入費11の領収書番号）"))))</f>
        <v>↓</v>
      </c>
      <c r="B104" s="573"/>
    </row>
    <row r="105" spans="1:3" ht="35.4" customHeight="1" x14ac:dyDescent="0.45">
      <c r="A105" t="str">
        <f>IF(B54="","↓",IF(B54="いいえ","↓（物品購入費12の支出内容）",IF(B66="","↓（物品購入費12の支出内容）",IF(B66="はい","物品購入費12の支出内容","↓（物品購入費12の支出内容）"))))</f>
        <v>↓</v>
      </c>
      <c r="B105" s="573" t="str">
        <f>IF(B73="はい", 収支予算書!J39,"")</f>
        <v/>
      </c>
      <c r="C105" t="s">
        <v>338</v>
      </c>
    </row>
    <row r="106" spans="1:3" ht="35.4" customHeight="1" x14ac:dyDescent="0.45">
      <c r="A106" t="str">
        <f>IF(B54="","↓",IF(B54="いいえ","↓（物品購入費12の決算額）",IF(B66="","↓（物品購入費12の決算額）",IF(B66="はい","物品購入費12の決算額","↓（物品購入費12の決算額）"))))</f>
        <v>↓</v>
      </c>
      <c r="B106" s="573" t="str">
        <f>IF(B66="はい", 収支予算書!J32,"")</f>
        <v/>
      </c>
      <c r="C106" t="s">
        <v>338</v>
      </c>
    </row>
    <row r="107" spans="1:3" ht="35.4" customHeight="1" x14ac:dyDescent="0.45">
      <c r="A107" t="str">
        <f>IF(B54="","↓",IF(B54="いいえ","↓（物品購入費12の領収書番号）",IF(B66="","↓（物品購入費12の領収書番号）",IF(B66="はい","物品購入費12の領収書番号","↓（物品購入費12の領収書番号）"))))</f>
        <v>↓</v>
      </c>
      <c r="B107" s="573"/>
    </row>
    <row r="108" spans="1:3" ht="35.4" customHeight="1" x14ac:dyDescent="0.45">
      <c r="A108" t="str">
        <f>IF(B54="","↓",IF(B54="いいえ","↓（物品購入費13の支出内容）",IF(B67="","↓（物品購入費13の支出内容）",IF(B67="はい","物品購入費13の支出内容","↓（物品購入費13の支出内容）"))))</f>
        <v>↓</v>
      </c>
      <c r="B108" s="573" t="str">
        <f>IF(B67="はい", 収支予算書!G33,"")</f>
        <v/>
      </c>
      <c r="C108" t="s">
        <v>338</v>
      </c>
    </row>
    <row r="109" spans="1:3" ht="35.4" customHeight="1" x14ac:dyDescent="0.45">
      <c r="A109" t="str">
        <f>IF(B54="","↓",IF(B54="いいえ","↓（物品購入費13の決算額）",IF(B67="","↓（物品購入費13の決算額）",IF(B67="はい","物品購入費13の決算額","↓（物品購入費13の決算額）"))))</f>
        <v>↓</v>
      </c>
      <c r="B109" s="573" t="str">
        <f>IF(B69="はい", 収支予算書!J35,"")</f>
        <v/>
      </c>
      <c r="C109" t="s">
        <v>338</v>
      </c>
    </row>
    <row r="110" spans="1:3" ht="35.4" customHeight="1" x14ac:dyDescent="0.45">
      <c r="A110" t="str">
        <f>IF(B54="","↓",IF(B54="いいえ","↓（物品購入費13の領収書番号）",IF(B67="","↓（物品購入費13の領収書番号）",IF(B67="はい","物品購入費13の領収書番号","↓（物品購入費13の領収書番号）"))))</f>
        <v>↓</v>
      </c>
      <c r="B110" s="573"/>
    </row>
    <row r="111" spans="1:3" ht="35.4" customHeight="1" x14ac:dyDescent="0.45">
      <c r="A111" t="str">
        <f>IF(B54="","↓",IF(B54="いいえ","↓（物品購入費14の支出内容）",IF(B68="","↓（物品購入費14の支出内容）",IF(B68="はい","物品購入費14の支出内容","↓（物品購入費14の支出内容）"))))</f>
        <v>↓</v>
      </c>
      <c r="B111" s="573" t="str">
        <f>IF(B68="はい", 収支予算書!G34,"")</f>
        <v/>
      </c>
      <c r="C111" t="s">
        <v>338</v>
      </c>
    </row>
    <row r="112" spans="1:3" ht="35.4" customHeight="1" x14ac:dyDescent="0.45">
      <c r="A112" t="str">
        <f>IF(B54="","↓",IF(B54="いいえ","↓（物品購入費14の決算額）",IF(B68="","↓（物品購入費14の決算額）",IF(B68="はい","物品購入費14の決算額","↓（物品購入費14の決算額）"))))</f>
        <v>↓</v>
      </c>
      <c r="B112" s="573" t="str">
        <f>IF(B68="はい", 収支予算書!J34,"")</f>
        <v/>
      </c>
      <c r="C112" t="s">
        <v>338</v>
      </c>
    </row>
    <row r="113" spans="1:3" ht="35.4" customHeight="1" x14ac:dyDescent="0.45">
      <c r="A113" t="str">
        <f>IF(B54="","↓",IF(B54="いいえ","↓（物品購入費14の領収書番号）",IF(B68="","↓（物品購入費14の領収書番号）",IF(B68="はい","物品購入費14の領収書番号","↓（物品購入費14の領収書番号）"))))</f>
        <v>↓</v>
      </c>
      <c r="B113" s="573"/>
    </row>
    <row r="114" spans="1:3" ht="35.4" customHeight="1" x14ac:dyDescent="0.45">
      <c r="A114" t="str">
        <f>IF(B54="","↓",IF(B54="いいえ","↓（物品購入費15の支出内容）",IF(B69="","↓（物品購入費15の支出内容）",IF(B69="はい","物品購入費15の支出内容","↓（物品購入費15の支出内容）"))))</f>
        <v>↓</v>
      </c>
      <c r="B114" s="573" t="str">
        <f>IF(B69="はい", 収支予算書!G35,"")</f>
        <v/>
      </c>
      <c r="C114" t="s">
        <v>338</v>
      </c>
    </row>
    <row r="115" spans="1:3" ht="35.4" customHeight="1" x14ac:dyDescent="0.45">
      <c r="A115" t="str">
        <f>IF(B54="","↓",IF(B54="いいえ","↓（物品購入費15の決算額）",IF(B69="","↓（物品購入費15の決算額）",IF(B69="はい","物品購入費15の決算額","↓（物品購入費15の決算額）"))))</f>
        <v>↓</v>
      </c>
      <c r="B115" s="573" t="str">
        <f>IF(B69="はい", 収支予算書!J35,"")</f>
        <v/>
      </c>
      <c r="C115" t="s">
        <v>338</v>
      </c>
    </row>
    <row r="116" spans="1:3" ht="35.4" customHeight="1" x14ac:dyDescent="0.45">
      <c r="A116" t="str">
        <f>IF(B54="","↓",IF(B54="いいえ","↓（物品購入費15の領収書番号）",IF(B69="","↓（物品購入費15の領収書番号）",IF(B69="はい","物品購入費15の領収書番号","↓（物品購入費15の領収書番号）"))))</f>
        <v>↓</v>
      </c>
      <c r="B116" s="573"/>
    </row>
    <row r="117" spans="1:3" ht="35.4" customHeight="1" x14ac:dyDescent="0.45">
      <c r="A117" t="str">
        <f>IF(B54="","↓",IF(B54="いいえ","↓（物品購入費16の支出内容）",IF(B70="","↓（物品購入費16の支出内容）",IF(B70="はい","物品購入費16の支出内容","↓（物品購入費16の支出内容）"))))</f>
        <v>↓</v>
      </c>
      <c r="B117" s="573" t="str">
        <f>IF(B70="はい", 収支予算書!G36,"")</f>
        <v/>
      </c>
      <c r="C117" t="s">
        <v>338</v>
      </c>
    </row>
    <row r="118" spans="1:3" ht="35.4" customHeight="1" x14ac:dyDescent="0.45">
      <c r="A118" t="str">
        <f>IF(B54="","↓",IF(B54="いいえ","↓（物品購入費16の決算額）",IF(B70="","↓（物品購入費16の決算額）",IF(B70="はい","物品購入費16の決算額","↓（物品購入費16の決算額）"))))</f>
        <v>↓</v>
      </c>
      <c r="B118" s="573" t="str">
        <f>IF(B70="はい", 収支予算書!J36,"")</f>
        <v/>
      </c>
      <c r="C118" t="s">
        <v>338</v>
      </c>
    </row>
    <row r="119" spans="1:3" ht="35.4" customHeight="1" x14ac:dyDescent="0.45">
      <c r="A119" t="str">
        <f>IF(B54="","↓",IF(B54="いいえ","↓（物品購入費16の領収書番号）",IF(B70="","↓（物品購入費16の領収書番号）",IF(B70="はい","物品購入費16の領収書番号","↓（物品購入費16の領収書番号）"))))</f>
        <v>↓</v>
      </c>
      <c r="B119" s="573"/>
    </row>
    <row r="120" spans="1:3" ht="35.4" customHeight="1" x14ac:dyDescent="0.45">
      <c r="A120" t="str">
        <f>IF(B54="","↓",IF(B54="いいえ","↓（物品購入費17の支出内容）",IF(B71="","↓（物品購入費17の支出内容）",IF(B71="はい","物品購入費17の支出内容","↓（物品購入費17の支出内容）"))))</f>
        <v>↓</v>
      </c>
      <c r="B120" s="573" t="str">
        <f>IF(B71="はい", 収支予算書!G37,"")</f>
        <v/>
      </c>
      <c r="C120" t="s">
        <v>338</v>
      </c>
    </row>
    <row r="121" spans="1:3" ht="35.4" customHeight="1" x14ac:dyDescent="0.45">
      <c r="A121" t="str">
        <f>IF(B54="","↓",IF(B54="いいえ","↓（物品購入費17の決算額）",IF(B71="","↓（物品購入費17の決算額）",IF(B71="はい","物品購入費17の決算額","↓（物品購入費17の決算額）"))))</f>
        <v>↓</v>
      </c>
      <c r="B121" s="573" t="str">
        <f>IF(B71="はい", 収支予算書!J37,"")</f>
        <v/>
      </c>
      <c r="C121" t="s">
        <v>338</v>
      </c>
    </row>
    <row r="122" spans="1:3" ht="35.4" customHeight="1" x14ac:dyDescent="0.45">
      <c r="A122" t="str">
        <f>IF(B54="","↓",IF(B54="いいえ","↓（物品購入費17の領収書番号）",IF(B71="","↓（物品購入費17の領収書番号）",IF(B71="はい","物品購入費17の領収書番号","↓（物品購入費17の領収書番号）"))))</f>
        <v>↓</v>
      </c>
      <c r="B122" s="573"/>
    </row>
    <row r="123" spans="1:3" ht="35.4" customHeight="1" x14ac:dyDescent="0.45">
      <c r="A123" s="114" t="s">
        <v>177</v>
      </c>
      <c r="B123" s="573"/>
      <c r="C123" t="s">
        <v>28</v>
      </c>
    </row>
    <row r="124" spans="1:3" ht="35.4" customHeight="1" x14ac:dyDescent="0.45">
      <c r="A124" s="114" t="str">
        <f>IF(B123="はい",IF(入力フォーム!B212="","↓", "収支予算書に計上された「"&amp;入力フォーム!B212&amp;"」の支出はありますか"),IF(B123="いいえ","↓","↓"))</f>
        <v>↓</v>
      </c>
      <c r="B124" s="573"/>
      <c r="C124" t="s">
        <v>28</v>
      </c>
    </row>
    <row r="125" spans="1:3" ht="35.4" customHeight="1" x14ac:dyDescent="0.45">
      <c r="A125" s="114" t="str">
        <f>IF(B123="はい",IF(入力フォーム!B215="","↓", "収支予算書に計上された「"&amp;入力フォーム!B215&amp;"」の支出はありますか"),IF(B123="いいえ","↓","↓"))</f>
        <v>↓</v>
      </c>
      <c r="B125" s="573"/>
      <c r="C125" t="s">
        <v>28</v>
      </c>
    </row>
    <row r="126" spans="1:3" ht="35.4" customHeight="1" x14ac:dyDescent="0.45">
      <c r="A126" s="114" t="str">
        <f>IF(B123="はい",IF(入力フォーム!B218="","↓", "収支予算書に計上された「"&amp;入力フォーム!B218&amp;"」の支出はありますか"),IF(B123="いいえ","↓","↓"))</f>
        <v>↓</v>
      </c>
      <c r="B126" s="573"/>
      <c r="C126" t="s">
        <v>28</v>
      </c>
    </row>
    <row r="127" spans="1:3" ht="35.4" customHeight="1" x14ac:dyDescent="0.45">
      <c r="A127" s="114" t="str">
        <f>IF(B123="はい",IF(入力フォーム!B221="","↓", "収支予算書に計上された「"&amp;入力フォーム!B221&amp;"」の支出はありますか"),IF(B123="いいえ","↓","↓"))</f>
        <v>↓</v>
      </c>
      <c r="B127" s="573"/>
      <c r="C127" t="s">
        <v>28</v>
      </c>
    </row>
    <row r="128" spans="1:3" ht="35.4" customHeight="1" x14ac:dyDescent="0.45">
      <c r="A128" s="13" t="str">
        <f>IF(B123="","↓",IF(B123="いいえ","↓（印刷経費１の支出内容）",IF(B124="","↓（印刷経費１の支出内容）",IF(B124="はい","印刷経費１の支出内容（例：周知用ポスターの印刷30部)","↓（印刷経費１の支出内容）"))))</f>
        <v>↓</v>
      </c>
      <c r="B128" s="573" t="str">
        <f>IF(B124="はい", 収支予算書!G38,"")</f>
        <v/>
      </c>
      <c r="C128" t="s">
        <v>338</v>
      </c>
    </row>
    <row r="129" spans="1:3" ht="35.4" customHeight="1" x14ac:dyDescent="0.45">
      <c r="A129" t="str">
        <f>IF(B123="","↓",IF(B123="いいえ","↓（印刷経費１の決算額）",IF(B124="","↓（印刷経費１の決算額）",IF(B124="はい","印刷経費１の決算額","↓（印刷経費１の決算額）"))))</f>
        <v>↓</v>
      </c>
      <c r="B129" s="573" t="str">
        <f>IF(B124="はい", 収支予算書!J38,"")</f>
        <v/>
      </c>
      <c r="C129" t="s">
        <v>338</v>
      </c>
    </row>
    <row r="130" spans="1:3" ht="35.4" customHeight="1" x14ac:dyDescent="0.45">
      <c r="A130" t="str">
        <f>IF(B123="","↓",IF(B123="いいえ","↓（印刷経費１の領収書番号）",IF(B124="","↓（印刷経費１の領収書番号）",IF(B124="はい","印刷経費１の領収書番号","↓（印刷経費１の領収書番号）"))))</f>
        <v>↓</v>
      </c>
      <c r="B130" s="573"/>
    </row>
    <row r="131" spans="1:3" ht="35.4" customHeight="1" x14ac:dyDescent="0.45">
      <c r="A131" t="str">
        <f>IF(B123="","↓",IF(B123="いいえ","↓（印刷経費２の支出内容）",IF(B125="","↓（印刷経費２の支出内容）",IF(B125="はい","印刷経費２の支出内容","↓（印刷経費２の支出内容）"))))</f>
        <v>↓</v>
      </c>
      <c r="B131" s="573" t="str">
        <f>IF(B125="はい", 収支予算書!G39,"")</f>
        <v/>
      </c>
      <c r="C131" t="s">
        <v>338</v>
      </c>
    </row>
    <row r="132" spans="1:3" ht="35.4" customHeight="1" x14ac:dyDescent="0.45">
      <c r="A132" t="str">
        <f>IF(B123="","↓",IF(B123="いいえ","↓（印刷経費２の決算額）",IF(B125="","↓（印刷経費２の決算額）",IF(B125="はい","印刷経費２の決算額","↓（印刷経費２の決算額）"))))</f>
        <v>↓</v>
      </c>
      <c r="B132" s="573" t="str">
        <f>IF(B125="はい", 収支予算書!J39,"")</f>
        <v/>
      </c>
      <c r="C132" t="s">
        <v>338</v>
      </c>
    </row>
    <row r="133" spans="1:3" ht="35.4" customHeight="1" x14ac:dyDescent="0.45">
      <c r="A133" t="str">
        <f>IF(B123="","↓",IF(B123="いいえ","↓（印刷経費２の領収書番号）",IF(B125="","↓（印刷経費２の領収書番号）",IF(B125="はい","印刷経費２の領収書番号","↓（印刷経費２の領収書番号）"))))</f>
        <v>↓</v>
      </c>
      <c r="B133" s="573"/>
    </row>
    <row r="134" spans="1:3" ht="35.4" customHeight="1" x14ac:dyDescent="0.45">
      <c r="A134" t="str">
        <f>IF(B123="","↓",IF(B123="いいえ","↓（印刷経費３の支出内容）",IF(B126="","↓（印刷経費３の支出内容）",IF(B126="はい","印刷経費３の支出内容","↓（印刷経費３の支出内容）"))))</f>
        <v>↓</v>
      </c>
      <c r="B134" s="573" t="str">
        <f>IF(B126="はい", 収支予算書!G40,"")</f>
        <v/>
      </c>
      <c r="C134" t="s">
        <v>338</v>
      </c>
    </row>
    <row r="135" spans="1:3" ht="35.4" customHeight="1" x14ac:dyDescent="0.45">
      <c r="A135" t="str">
        <f>IF(B123="","↓",IF(B123="いいえ","↓（印刷経費３の決算額）",IF(B126="","↓（印刷経費３の決算額）",IF(B126="はい","印刷経費３の決算額","↓（印刷経費３の決算額）"))))</f>
        <v>↓</v>
      </c>
      <c r="B135" s="573" t="str">
        <f>IF(B126="はい", 収支予算書!J40,"")</f>
        <v/>
      </c>
      <c r="C135" t="s">
        <v>338</v>
      </c>
    </row>
    <row r="136" spans="1:3" ht="35.4" customHeight="1" x14ac:dyDescent="0.45">
      <c r="A136" t="str">
        <f>IF(B123="","↓",IF(B123="いいえ","↓（印刷経費３の領収書番号）",IF(B126="","↓（印刷経費３の領収書番号）",IF(B126="はい","印刷経費３の領収書番号","↓（印刷経費３の領収書番号）"))))</f>
        <v>↓</v>
      </c>
      <c r="B136" s="573"/>
    </row>
    <row r="137" spans="1:3" ht="35.4" customHeight="1" x14ac:dyDescent="0.45">
      <c r="A137" t="str">
        <f>IF(B123="","↓",IF(B123="いいえ","↓（印刷経費４の支出内容）",IF(B127="","↓（印刷経費４の支出内容）",IF(B127="はい","印刷経費４の支出内容","↓（印刷経費４の支出内容）"))))</f>
        <v>↓</v>
      </c>
      <c r="B137" s="573" t="str">
        <f>IF(B127="はい", 収支予算書!G41,"")</f>
        <v/>
      </c>
      <c r="C137" t="s">
        <v>338</v>
      </c>
    </row>
    <row r="138" spans="1:3" ht="35.4" customHeight="1" x14ac:dyDescent="0.45">
      <c r="A138" t="str">
        <f>IF(B123="","↓",IF(B123="いいえ","↓（印刷経費４の決算額）",IF(B127="","↓（印刷経費４の決算額）",IF(B127="はい","印刷経費４の決算額","↓（印刷経費４の決算額）"))))</f>
        <v>↓</v>
      </c>
      <c r="B138" s="573" t="str">
        <f>IF(B127="はい", 収支予算書!J41,"")</f>
        <v/>
      </c>
      <c r="C138" t="s">
        <v>338</v>
      </c>
    </row>
    <row r="139" spans="1:3" ht="35.4" customHeight="1" x14ac:dyDescent="0.45">
      <c r="A139" t="str">
        <f>IF(B123="","↓",IF(B123="いいえ","↓（印刷経費４の領収書番号）",IF(B127="","↓（印刷経費４の領収書番号）",IF(B127="はい","印刷経費４の領収書番号","↓（印刷経費４の領収書番号）"))))</f>
        <v>↓</v>
      </c>
      <c r="B139" s="573"/>
    </row>
    <row r="140" spans="1:3" ht="35.4" customHeight="1" x14ac:dyDescent="0.45">
      <c r="A140" s="114" t="s">
        <v>178</v>
      </c>
      <c r="B140" s="573"/>
      <c r="C140" t="s">
        <v>28</v>
      </c>
    </row>
    <row r="141" spans="1:3" ht="35.4" customHeight="1" x14ac:dyDescent="0.45">
      <c r="A141" s="114" t="str">
        <f>IF(B140="はい",IF(入力フォーム!B225="","↓", "収支予算書に計上された「"&amp;入力フォーム!B225&amp;"」の支出はありますか"),IF(B140="いいえ","↓","↓"))</f>
        <v>↓</v>
      </c>
      <c r="B141" s="573"/>
      <c r="C141" t="s">
        <v>28</v>
      </c>
    </row>
    <row r="142" spans="1:3" ht="35.4" customHeight="1" x14ac:dyDescent="0.45">
      <c r="A142" s="114" t="str">
        <f>IF(B140="はい",IF(入力フォーム!B228="","↓", "収支予算書に計上された「"&amp;入力フォーム!B228&amp;"」の支出はありますか"),IF(B140="いいえ","↓","↓"))</f>
        <v>↓</v>
      </c>
      <c r="B142" s="573"/>
      <c r="C142" t="s">
        <v>28</v>
      </c>
    </row>
    <row r="143" spans="1:3" ht="35.4" customHeight="1" x14ac:dyDescent="0.45">
      <c r="A143" s="114" t="str">
        <f>IF(B140="はい",IF(入力フォーム!B231="","↓", "収支予算書に計上された「"&amp;入力フォーム!B231&amp;"」の支出はありますか"),IF(B140="いいえ","↓","↓"))</f>
        <v>↓</v>
      </c>
      <c r="B143" s="573"/>
      <c r="C143" t="s">
        <v>28</v>
      </c>
    </row>
    <row r="144" spans="1:3" ht="35.4" customHeight="1" x14ac:dyDescent="0.45">
      <c r="A144" s="114" t="str">
        <f>IF(B140="はい",IF(入力フォーム!B234="","↓", "収支予算書に計上された「"&amp;入力フォーム!B234&amp;"」の支出はありますか"),IF(B140="いいえ","↓","↓"))</f>
        <v>↓</v>
      </c>
      <c r="B144" s="573"/>
      <c r="C144" t="s">
        <v>28</v>
      </c>
    </row>
    <row r="145" spans="1:3" ht="35.4" customHeight="1" x14ac:dyDescent="0.45">
      <c r="A145" s="13" t="str">
        <f>IF(B140="","↓",IF(B140="いいえ","↓（役務費１の支出内容）",IF(B141="","↓（役務費１の支出内容）",IF(B141="はい","役務費１の支出内容（例：チラシのポスティング100世帯分）)","↓（役務費１の支出内容）"))))</f>
        <v>↓</v>
      </c>
      <c r="B145" s="573" t="str">
        <f>IF(B141="はい", 収支予算書!G42,"")</f>
        <v/>
      </c>
      <c r="C145" t="s">
        <v>338</v>
      </c>
    </row>
    <row r="146" spans="1:3" ht="35.4" customHeight="1" x14ac:dyDescent="0.45">
      <c r="A146" t="str">
        <f>IF(B140="","↓",IF(B140="いいえ","↓（役務費１の決算額）",IF(B141="","↓（役務費１の決算額）",IF(B141="はい","役務費１の決算額","↓（役務費１の決算額）"))))</f>
        <v>↓</v>
      </c>
      <c r="B146" s="573" t="str">
        <f>IF(B141="はい", 収支予算書!J42,"")</f>
        <v/>
      </c>
      <c r="C146" t="s">
        <v>338</v>
      </c>
    </row>
    <row r="147" spans="1:3" ht="35.4" customHeight="1" x14ac:dyDescent="0.45">
      <c r="A147" t="str">
        <f>IF(B140="","↓",IF(B140="いいえ","↓（役務費１の領収書番号）",IF(B141="","↓（役務費１の領収書番号）",IF(B141="はい","役務費１の領収書番号","↓（役務費１の領収書番号）"))))</f>
        <v>↓</v>
      </c>
      <c r="B147" s="573"/>
    </row>
    <row r="148" spans="1:3" ht="35.4" customHeight="1" x14ac:dyDescent="0.45">
      <c r="A148" t="str">
        <f>IF(B140="","↓",IF(B140="いいえ","↓（役務費２の支出内容）",IF(B142="","↓（役務費２の支出内容）",IF(B142="はい","役務費２の支出内容","↓（役務費２の支出内容）"))))</f>
        <v>↓</v>
      </c>
      <c r="B148" s="573" t="str">
        <f>IF(B142="はい", 収支予算書!G43,"")</f>
        <v/>
      </c>
      <c r="C148" t="s">
        <v>338</v>
      </c>
    </row>
    <row r="149" spans="1:3" ht="35.4" customHeight="1" x14ac:dyDescent="0.45">
      <c r="A149" t="str">
        <f>IF(B140="","↓",IF(B140="いいえ","↓（役務費２の決算額）",IF(B142="","↓（役務費２の決算額）",IF(B142="はい","役務費２の決算額","↓（役務費２の決算額）"))))</f>
        <v>↓</v>
      </c>
      <c r="B149" s="573" t="str">
        <f>IF(B142="はい", 収支予算書!J43,"")</f>
        <v/>
      </c>
      <c r="C149" t="s">
        <v>338</v>
      </c>
    </row>
    <row r="150" spans="1:3" ht="35.4" customHeight="1" x14ac:dyDescent="0.45">
      <c r="A150" t="str">
        <f>IF(B140="","↓",IF(B140="いいえ","↓（役務費２の領収書番号）",IF(B142="","↓（役務費２の領収書番号）",IF(B142="はい","役務費２の領収書番号","↓（役務費２の領収書番号）"))))</f>
        <v>↓</v>
      </c>
      <c r="B150" s="573"/>
    </row>
    <row r="151" spans="1:3" ht="35.4" customHeight="1" x14ac:dyDescent="0.45">
      <c r="A151" t="str">
        <f>IF(B140="","↓",IF(B140="いいえ","↓（役務費３の支出内容）",IF(B143="","↓（役務費３の支出内容）",IF(B143="はい","役務費３の支出内容","↓（役務費３の支出内容）"))))</f>
        <v>↓</v>
      </c>
      <c r="B151" s="573" t="str">
        <f>IF(B143="はい", 収支予算書!G44,"")</f>
        <v/>
      </c>
      <c r="C151" t="s">
        <v>338</v>
      </c>
    </row>
    <row r="152" spans="1:3" ht="35.4" customHeight="1" x14ac:dyDescent="0.45">
      <c r="A152" t="str">
        <f>IF(B140="","↓",IF(B140="いいえ","↓（役務費３の決算額）",IF(B143="","↓（役務費３の決算額）",IF(B143="はい","役務費３の決算額","↓（役務費３の決算額）"))))</f>
        <v>↓</v>
      </c>
      <c r="B152" s="573" t="str">
        <f>IF(B143="はい", 収支予算書!J44,"")</f>
        <v/>
      </c>
      <c r="C152" t="s">
        <v>338</v>
      </c>
    </row>
    <row r="153" spans="1:3" ht="35.4" customHeight="1" x14ac:dyDescent="0.45">
      <c r="A153" t="str">
        <f>IF(B140="","↓",IF(B140="いいえ","↓（役務費３の領収書番号）",IF(B143="","↓（役務費３の領収書番号）",IF(B143="はい","役務費３の領収書番号","↓（役務費３の領収書番号）"))))</f>
        <v>↓</v>
      </c>
      <c r="B153" s="573"/>
    </row>
    <row r="154" spans="1:3" ht="35.4" customHeight="1" x14ac:dyDescent="0.45">
      <c r="A154" t="str">
        <f>IF(B140="","↓",IF(B140="いいえ","↓（役務費４の支出内容）",IF(B144="","↓（役務費４の支出内容）",IF(B144="はい","役務費４の支出内容","↓（役務費４の支出内容）"))))</f>
        <v>↓</v>
      </c>
      <c r="B154" s="573" t="str">
        <f>IF(B144="はい", 収支予算書!G45,"")</f>
        <v/>
      </c>
      <c r="C154" t="s">
        <v>338</v>
      </c>
    </row>
    <row r="155" spans="1:3" ht="35.4" customHeight="1" x14ac:dyDescent="0.45">
      <c r="A155" t="str">
        <f>IF(B140="","↓",IF(B140="いいえ","↓（役務費４の決算額）",IF(B144="","↓（役務費４の決算額）",IF(B144="はい","役務費４の決算額","↓（役務費４の決算額）"))))</f>
        <v>↓</v>
      </c>
      <c r="B155" s="573" t="str">
        <f>IF(B144="はい", 収支予算書!J45,"")</f>
        <v/>
      </c>
      <c r="C155" t="s">
        <v>338</v>
      </c>
    </row>
    <row r="156" spans="1:3" ht="35.4" customHeight="1" x14ac:dyDescent="0.45">
      <c r="A156" t="str">
        <f>IF(B140="","↓",IF(B140="いいえ","↓（役務費４の領収書番号）",IF(B144="","↓（役務費４の領収書番号）",IF(B144="はい","役務費４の領収書番号","↓（役務費４の領収書番号）"))))</f>
        <v>↓</v>
      </c>
      <c r="B156" s="573"/>
    </row>
    <row r="157" spans="1:3" ht="35.4" customHeight="1" x14ac:dyDescent="0.45">
      <c r="A157" s="114" t="s">
        <v>179</v>
      </c>
      <c r="B157" s="573"/>
      <c r="C157" t="s">
        <v>28</v>
      </c>
    </row>
    <row r="158" spans="1:3" ht="35.4" customHeight="1" x14ac:dyDescent="0.45">
      <c r="A158" s="114" t="str">
        <f>IF(B157="はい",IF(入力フォーム!B238="","↓", "収支予算書に計上された「"&amp;入力フォーム!B238&amp;"」の支出はありますか"),IF(B157="いいえ","↓","↓"))</f>
        <v>↓</v>
      </c>
      <c r="B158" s="573"/>
      <c r="C158" t="s">
        <v>28</v>
      </c>
    </row>
    <row r="159" spans="1:3" ht="35.4" customHeight="1" x14ac:dyDescent="0.45">
      <c r="A159" s="114" t="str">
        <f>IF(B157="はい",IF(入力フォーム!B241="","↓", "収支予算書に計上された「"&amp;入力フォーム!B241&amp;"」の支出はありますか"),IF(B157="いいえ","↓","↓"))</f>
        <v>↓</v>
      </c>
      <c r="B159" s="573"/>
      <c r="C159" t="s">
        <v>28</v>
      </c>
    </row>
    <row r="160" spans="1:3" ht="35.4" customHeight="1" x14ac:dyDescent="0.45">
      <c r="A160" s="114" t="str">
        <f>IF(B157="はい",IF(入力フォーム!B244="","↓", "収支予算書に計上された「"&amp;入力フォーム!B244&amp;"」の支出はありますか"),IF(B157="いいえ","↓","↓"))</f>
        <v>↓</v>
      </c>
      <c r="B160" s="573"/>
      <c r="C160" t="s">
        <v>28</v>
      </c>
    </row>
    <row r="161" spans="1:3" ht="35.4" customHeight="1" x14ac:dyDescent="0.45">
      <c r="A161" s="114" t="str">
        <f>IF(B157="はい",IF(入力フォーム!B247="","↓", "収支予算書に計上された「"&amp;入力フォーム!B247&amp;"」の支出はありますか"),IF(B157="いいえ","↓","↓"))</f>
        <v>↓</v>
      </c>
      <c r="B161" s="573"/>
      <c r="C161" t="s">
        <v>28</v>
      </c>
    </row>
    <row r="162" spans="1:3" ht="35.4" customHeight="1" x14ac:dyDescent="0.45">
      <c r="A162" s="13" t="str">
        <f>IF(B157="","↓",IF(B157="いいえ","↓（レンタル・リース料１の支出内容）",IF(B158="","↓（レンタル・リース料１の支出内容）",IF(B158="はい","レンタル・リース料１の支出内容（例：Wi-Fiルーターレンタル・リース期間30日分）)","↓（レンタル・リース料１の支出内容）"))))</f>
        <v>↓</v>
      </c>
      <c r="B162" s="573" t="str">
        <f>IF(B158="はい", 収支予算書!G46,"")</f>
        <v/>
      </c>
      <c r="C162" t="s">
        <v>338</v>
      </c>
    </row>
    <row r="163" spans="1:3" ht="35.4" customHeight="1" x14ac:dyDescent="0.45">
      <c r="A163" t="str">
        <f>IF(B157="","↓",IF(B157="いいえ","↓（レンタル・リース料１の決算額）",IF(B158="","↓（レンタル・リース料１の決算額）",IF(B158="はい","レンタル・リース料１の決算額","↓（レンタル・リース料１の決算額）"))))</f>
        <v>↓</v>
      </c>
      <c r="B163" s="573" t="str">
        <f>IF(B158="はい", 収支予算書!J46,"")</f>
        <v/>
      </c>
      <c r="C163" t="s">
        <v>338</v>
      </c>
    </row>
    <row r="164" spans="1:3" ht="35.4" customHeight="1" x14ac:dyDescent="0.45">
      <c r="A164" t="str">
        <f>IF(B157="","↓",IF(B157="いいえ","↓（レンタル・リース料１の領収書番号）",IF(B158="","↓（レンタル・リース料１の領収書番号）",IF(B158="はい","レンタル・リース料１の領収書番号","↓（レンタル・リース料１の領収書番号）"))))</f>
        <v>↓</v>
      </c>
      <c r="B164" s="573"/>
    </row>
    <row r="165" spans="1:3" ht="35.4" customHeight="1" x14ac:dyDescent="0.45">
      <c r="A165" t="str">
        <f>IF(B157="","↓",IF(B157="いいえ","↓（レンタル・リース料２の支出内容）",IF(B159="","↓（レンタル・リース料２の支出内容）",IF(B159="はい","レンタル・リース料２の支出内容","↓（レンタル・リース料２の支出内容）"))))</f>
        <v>↓</v>
      </c>
      <c r="B165" s="573" t="str">
        <f>IF(B159="はい", 収支予算書!G47,"")</f>
        <v/>
      </c>
      <c r="C165" t="s">
        <v>338</v>
      </c>
    </row>
    <row r="166" spans="1:3" ht="35.4" customHeight="1" x14ac:dyDescent="0.45">
      <c r="A166" t="str">
        <f>IF(B157="","↓",IF(B157="いいえ","↓（レンタル・リース料２の決算額）",IF(B159="","↓（レンタル・リース料２の決算額）",IF(B159="はい","レンタル・リース料２の決算額","↓（レンタル・リース料２の決算額）"))))</f>
        <v>↓</v>
      </c>
      <c r="B166" s="573" t="str">
        <f>IF(B159="はい", 収支予算書!J47,"")</f>
        <v/>
      </c>
      <c r="C166" t="s">
        <v>338</v>
      </c>
    </row>
    <row r="167" spans="1:3" ht="35.4" customHeight="1" x14ac:dyDescent="0.45">
      <c r="A167" t="str">
        <f>IF(B157="","↓",IF(B157="いいえ","↓（レンタル・リース料２の領収書番号）",IF(B159="","↓（レンタル・リース料２の領収書番号）",IF(B159="はい","レンタル・リース料２の領収書番号","↓（レンタル・リース料２の領収書番号）"))))</f>
        <v>↓</v>
      </c>
      <c r="B167" s="573"/>
    </row>
    <row r="168" spans="1:3" ht="35.4" customHeight="1" x14ac:dyDescent="0.45">
      <c r="A168" t="str">
        <f>IF(B157="","↓",IF(B157="いいえ","↓（レンタル・リース料３の支出内容）",IF(B160="","↓（レンタル・リース料３の支出内容）",IF(B160="はい","レンタル・リース料３の支出内容","↓（レンタル・リース料３の支出内容）"))))</f>
        <v>↓</v>
      </c>
      <c r="B168" s="573" t="str">
        <f>IF(B160="はい", 収支予算書!G48,"")</f>
        <v/>
      </c>
      <c r="C168" t="s">
        <v>338</v>
      </c>
    </row>
    <row r="169" spans="1:3" ht="35.4" customHeight="1" x14ac:dyDescent="0.45">
      <c r="A169" t="str">
        <f>IF(B157="","↓",IF(B157="いいえ","↓（レンタル・リース料３の決算額）",IF(B160="","↓（レンタル・リース料３の決算額）",IF(B160="はい","レンタル・リース料３の決算額","↓（レンタル・リース料３の決算額）"))))</f>
        <v>↓</v>
      </c>
      <c r="B169" s="573" t="str">
        <f>IF(B160="はい", 収支予算書!J48,"")</f>
        <v/>
      </c>
      <c r="C169" t="s">
        <v>338</v>
      </c>
    </row>
    <row r="170" spans="1:3" ht="35.4" customHeight="1" x14ac:dyDescent="0.45">
      <c r="A170" t="str">
        <f>IF(B157="","↓",IF(B157="いいえ","↓（レンタル・リース料３の領収書番号）",IF(B160="","↓（レンタル・リース料３の領収書番号）",IF(B160="はい","レンタル・リース料３の領収書番号","↓（レンタル・リース料３の領収書番号）"))))</f>
        <v>↓</v>
      </c>
      <c r="B170" s="573"/>
    </row>
    <row r="171" spans="1:3" ht="35.4" customHeight="1" x14ac:dyDescent="0.45">
      <c r="A171" t="str">
        <f>IF(B157="","↓",IF(B157="いいえ","↓（レンタル・リース料４の支出内容）",IF(B161="","↓（レンタル・リース料４の支出内容）",IF(B161="はい","レンタル・リース料４の支出内容","↓（レンタル・リース料４の支出内容）"))))</f>
        <v>↓</v>
      </c>
      <c r="B171" s="573" t="str">
        <f>IF(B161="はい", 収支予算書!G49,"")</f>
        <v/>
      </c>
      <c r="C171" t="s">
        <v>338</v>
      </c>
    </row>
    <row r="172" spans="1:3" ht="35.4" customHeight="1" x14ac:dyDescent="0.45">
      <c r="A172" t="str">
        <f>IF(B157="","↓",IF(B157="いいえ","↓（レンタル・リース料４の決算額）",IF(B161="","↓（レンタル・リース料４の決算額）",IF(B161="はい","レンタル・リース料４の決算額","↓（レンタル・リース料４の決算額）"))))</f>
        <v>↓</v>
      </c>
      <c r="B172" s="573" t="str">
        <f>IF(B161="はい", 収支予算書!J49,"")</f>
        <v/>
      </c>
      <c r="C172" t="s">
        <v>338</v>
      </c>
    </row>
    <row r="173" spans="1:3" ht="35.4" customHeight="1" x14ac:dyDescent="0.45">
      <c r="A173" t="str">
        <f>IF(B157="","↓",IF(B157="いいえ","↓（レンタル・リース料４の領収書番号）",IF(B161="","↓（レンタル・リース料４の領収書番号）",IF(B161="はい","レンタル・リース料４の領収書番号","↓（レンタル・リース料４の領収書番号）"))))</f>
        <v>↓</v>
      </c>
      <c r="B173" s="573"/>
    </row>
    <row r="174" spans="1:3" ht="35.4" customHeight="1" x14ac:dyDescent="0.45">
      <c r="A174" s="114" t="s">
        <v>180</v>
      </c>
      <c r="B174" s="573"/>
      <c r="C174" t="s">
        <v>28</v>
      </c>
    </row>
    <row r="175" spans="1:3" ht="35.4" customHeight="1" x14ac:dyDescent="0.45">
      <c r="A175" s="114" t="str">
        <f>IF(B174="はい",IF(入力フォーム!B251="","↓", "収支予算書に計上された「"&amp;入力フォーム!B251&amp;"」の支出はありますか"),IF(B174="いいえ","↓","↓"))</f>
        <v>↓</v>
      </c>
      <c r="B175" s="573"/>
      <c r="C175" t="s">
        <v>28</v>
      </c>
    </row>
    <row r="176" spans="1:3" ht="35.4" customHeight="1" x14ac:dyDescent="0.45">
      <c r="A176" s="114" t="str">
        <f>IF(B174="はい",IF(入力フォーム!B254="","↓", "収支予算書に計上された「"&amp;入力フォーム!B254&amp;"」の支出はありますか"),IF(B174="いいえ","↓","↓"))</f>
        <v>↓</v>
      </c>
      <c r="B176" s="573"/>
      <c r="C176" t="s">
        <v>28</v>
      </c>
    </row>
    <row r="177" spans="1:3" ht="35.4" customHeight="1" x14ac:dyDescent="0.45">
      <c r="A177" s="114" t="str">
        <f>IF(B174="はい",IF(入力フォーム!B257="","↓", "収支予算書に計上された「"&amp;入力フォーム!B257&amp;"」の支出はありますか"),IF(B174="いいえ","↓","↓"))</f>
        <v>↓</v>
      </c>
      <c r="B177" s="573"/>
      <c r="C177" t="s">
        <v>28</v>
      </c>
    </row>
    <row r="178" spans="1:3" ht="35.4" customHeight="1" x14ac:dyDescent="0.45">
      <c r="A178" s="114" t="str">
        <f>IF(B174="はい",IF(入力フォーム!B260="","↓", "収支予算書に計上された「"&amp;入力フォーム!B260&amp;"」の支出はありますか"),IF(B174="いいえ","↓","↓"))</f>
        <v>↓</v>
      </c>
      <c r="B178" s="573"/>
      <c r="C178" t="s">
        <v>28</v>
      </c>
    </row>
    <row r="179" spans="1:3" ht="35.4" customHeight="1" x14ac:dyDescent="0.45">
      <c r="A179" s="13" t="str">
        <f>IF(B174="","↓",IF(B174="いいえ","↓（助成対象外経費１の支出内容）",IF(B175="","↓（助成対象外経費１の支出内容）",IF(B175="はい","助成対象外経費１の支出内容","↓（助成対象外経費１の支出内容）"))))</f>
        <v>↓</v>
      </c>
      <c r="B179" s="573" t="str">
        <f>IF(B175="はい", 収支予算書!G51,"")</f>
        <v/>
      </c>
      <c r="C179" t="s">
        <v>338</v>
      </c>
    </row>
    <row r="180" spans="1:3" ht="35.4" customHeight="1" x14ac:dyDescent="0.45">
      <c r="A180" t="str">
        <f>IF(B174="","↓",IF(B174="いいえ","↓（助成対象外経費１の決算額）",IF(B175="","↓（助成対象外経費１の決算額）",IF(B175="はい","助成対象外経費１の決算額","↓（助成対象外経費１の決算額）"))))</f>
        <v>↓</v>
      </c>
      <c r="B180" s="573" t="str">
        <f>IF(B175="はい", 収支予算書!J51,"")</f>
        <v/>
      </c>
      <c r="C180" t="s">
        <v>338</v>
      </c>
    </row>
    <row r="181" spans="1:3" ht="35.4" customHeight="1" x14ac:dyDescent="0.45">
      <c r="A181" t="str">
        <f>IF(B174="","↓",IF(B174="いいえ","↓（助成対象外経費２の支出内容）",IF(B176="","↓（助成対象外経費２の支出内容）",IF(B176="はい","助成対象外経費２の支出内容","↓（助成対象外経費２の支出内容）"))))</f>
        <v>↓</v>
      </c>
      <c r="B181" s="573" t="str">
        <f>IF(B176="はい", 収支予算書!G52,"")</f>
        <v/>
      </c>
      <c r="C181" t="s">
        <v>338</v>
      </c>
    </row>
    <row r="182" spans="1:3" ht="35.4" customHeight="1" x14ac:dyDescent="0.45">
      <c r="A182" t="str">
        <f>IF(B174="","↓",IF(B174="いいえ","↓（助成対象外経費２の決算額）",IF(B176="","↓（助成対象外経費２の決算額）",IF(B176="はい","助成対象外経費２の決算額","↓（助成対象外経費２の決算額）"))))</f>
        <v>↓</v>
      </c>
      <c r="B182" s="573" t="str">
        <f>IF(B176="はい", 収支予算書!J52,"")</f>
        <v/>
      </c>
      <c r="C182" t="s">
        <v>338</v>
      </c>
    </row>
    <row r="183" spans="1:3" ht="35.4" customHeight="1" x14ac:dyDescent="0.45">
      <c r="A183" t="str">
        <f>IF(B174="","↓",IF(B174="いいえ","↓（助成対象外経費３の支出内容）",IF(B177="","↓（助成対象外経費３の支出内容）",IF(B177="はい","助成対象外経費３の支出内容","↓（助成対象外経費３の支出内容）"))))</f>
        <v>↓</v>
      </c>
      <c r="B183" s="573" t="str">
        <f>IF(B177="はい", 収支予算書!G53,"")</f>
        <v/>
      </c>
      <c r="C183" t="s">
        <v>338</v>
      </c>
    </row>
    <row r="184" spans="1:3" ht="35.4" customHeight="1" x14ac:dyDescent="0.45">
      <c r="A184" t="str">
        <f>IF(B174="","↓",IF(B174="いいえ","↓（助成対象外経費３の決算額）",IF(B177="","↓（助成対象外経費３の決算額）",IF(B177="はい","助成対象外経費３の決算額","↓（助成対象外経費３の決算額）"))))</f>
        <v>↓</v>
      </c>
      <c r="B184" s="573" t="str">
        <f>IF(B177="はい", 収支予算書!J53,"")</f>
        <v/>
      </c>
      <c r="C184" t="s">
        <v>338</v>
      </c>
    </row>
    <row r="185" spans="1:3" ht="35.4" customHeight="1" x14ac:dyDescent="0.45">
      <c r="A185" t="str">
        <f>IF(B174="","↓",IF(B174="いいえ","↓（助成対象外経費４の支出内容）",IF(B178="","↓（助成対象外経費４の支出内容）",IF(B178="はい","助成対象外経費４の支出内容","↓（助成対象外経費４の支出内容）"))))</f>
        <v>↓</v>
      </c>
      <c r="B185" s="573" t="str">
        <f>IF(B179="はい", 収支予算書!G55,"")</f>
        <v/>
      </c>
      <c r="C185" t="s">
        <v>338</v>
      </c>
    </row>
    <row r="186" spans="1:3" ht="35.4" customHeight="1" x14ac:dyDescent="0.45">
      <c r="A186" t="str">
        <f>IF(B174="","↓",IF(B174="いいえ","↓（助成対象外経費４の決算額）",IF(B178="","↓（助成対象外経費４の決算額）",IF(B178="はい","助成対象外経費４の決算額","↓（助成対象外経費４の決算額）"))))</f>
        <v>↓</v>
      </c>
      <c r="B186" s="573" t="str">
        <f>IF(B178="はい", 収支予算書!J54,"")</f>
        <v/>
      </c>
      <c r="C186" t="s">
        <v>338</v>
      </c>
    </row>
    <row r="187" spans="1:3" ht="35.4" customHeight="1" x14ac:dyDescent="0.45">
      <c r="A187" s="564" t="s">
        <v>396</v>
      </c>
      <c r="B187" s="573"/>
      <c r="C187" t="s">
        <v>28</v>
      </c>
    </row>
    <row r="188" spans="1:3" ht="35.4" customHeight="1" x14ac:dyDescent="0.45">
      <c r="A188" s="114" t="str">
        <f>IF(B187="はい",IF(入力フォーム!B264="","↓", "収支予算書に計上された「"&amp;入力フォーム!B264&amp;"」の収入はありますか"),IF(B187="いいえ","↓","↓"))</f>
        <v>↓</v>
      </c>
      <c r="B188" s="573"/>
      <c r="C188" t="s">
        <v>28</v>
      </c>
    </row>
    <row r="189" spans="1:3" ht="35.4" customHeight="1" x14ac:dyDescent="0.45">
      <c r="A189" s="13" t="str">
        <f>IF(B187="","↓",IF(B187="いいえ","↓（助成金以外の収入の種類）",IF(B188="","↓（助成金以外の収入の種類）",IF(B188="はい","助成金以外の収入の種類（例：寄付金）","↓（助成金以外の収入の種類）"))))</f>
        <v>↓</v>
      </c>
      <c r="B189" s="573" t="str">
        <f>IF(B188="はい", 収支予算書!G11,"")</f>
        <v/>
      </c>
      <c r="C189" t="s">
        <v>339</v>
      </c>
    </row>
    <row r="190" spans="1:3" ht="35.4" customHeight="1" x14ac:dyDescent="0.45">
      <c r="A190" t="str">
        <f>IF(B187="","↓",IF(B187="いいえ","↓（助成金以外の収入の金額）","助成金以外の収入の金額"))</f>
        <v>↓</v>
      </c>
      <c r="B190" s="573" t="str">
        <f>IF(B188="はい", 入力フォーム!B265,"")</f>
        <v/>
      </c>
      <c r="C190" t="s">
        <v>338</v>
      </c>
    </row>
    <row r="191" spans="1:3" x14ac:dyDescent="0.45">
      <c r="A191" s="118" t="s">
        <v>83</v>
      </c>
      <c r="B191" s="237">
        <f>IF(B3="都町連",2000000,IF(B3="町自連",2000000,IF(B3="地区連",1000000,IF(入力フォーム!B22="Ｃ　複数の単一町会・自治会が共同して実施する取組",500000,IF(入力フォーム!B22="Ｄ　単一の町会・自治会が他の地域団体と連携して実施する取組",300000,IF(B3="単一",200000,""))))))</f>
        <v>500000</v>
      </c>
    </row>
    <row r="192" spans="1:3" x14ac:dyDescent="0.45">
      <c r="A192" s="118" t="s">
        <v>84</v>
      </c>
      <c r="B192" s="237" t="str">
        <f>決算書!K50</f>
        <v/>
      </c>
    </row>
    <row r="193" spans="1:5" x14ac:dyDescent="0.45">
      <c r="A193" s="118" t="s">
        <v>85</v>
      </c>
      <c r="B193" s="237" t="str">
        <f>決算書!K57</f>
        <v/>
      </c>
    </row>
    <row r="194" spans="1:5" x14ac:dyDescent="0.45">
      <c r="A194" s="118" t="s">
        <v>86</v>
      </c>
      <c r="B194" s="237" t="str">
        <f>IFERROR(B193-IF(B190="",0,B190)-B195,"")</f>
        <v/>
      </c>
    </row>
    <row r="195" spans="1:5" x14ac:dyDescent="0.45">
      <c r="A195" s="117" t="s">
        <v>87</v>
      </c>
      <c r="B195" s="237" t="str">
        <f>IFERROR(IF(B193-E195&gt;IF(B190="",0,B190),E195,ROUNDDOWN(B193-IF(B190="",0,B190),-3)),"")</f>
        <v/>
      </c>
      <c r="E195" s="55" t="str">
        <f>IFERROR(IF(ROUNDDOWN(B192*入力フォーム!B23,-3)&gt;B191,B191,ROUNDDOWN(B192*入力フォーム!B23,-3)),"")</f>
        <v/>
      </c>
    </row>
    <row r="197" spans="1:5" x14ac:dyDescent="0.45">
      <c r="A197" t="s">
        <v>360</v>
      </c>
    </row>
    <row r="198" spans="1:5" x14ac:dyDescent="0.45">
      <c r="A198" s="309" t="s">
        <v>361</v>
      </c>
    </row>
    <row r="199" spans="1:5" x14ac:dyDescent="0.45">
      <c r="A199" s="309" t="s">
        <v>362</v>
      </c>
    </row>
    <row r="200" spans="1:5" x14ac:dyDescent="0.45">
      <c r="A200" s="309" t="s">
        <v>363</v>
      </c>
    </row>
    <row r="201" spans="1:5" x14ac:dyDescent="0.45">
      <c r="A201" s="309" t="s">
        <v>364</v>
      </c>
    </row>
    <row r="202" spans="1:5" x14ac:dyDescent="0.45">
      <c r="A202" s="309" t="s">
        <v>365</v>
      </c>
    </row>
    <row r="203" spans="1:5" x14ac:dyDescent="0.45">
      <c r="A203" s="309" t="s">
        <v>366</v>
      </c>
    </row>
    <row r="204" spans="1:5" x14ac:dyDescent="0.45">
      <c r="A204" s="309" t="s">
        <v>367</v>
      </c>
    </row>
    <row r="205" spans="1:5" x14ac:dyDescent="0.45">
      <c r="A205" s="309" t="s">
        <v>368</v>
      </c>
    </row>
    <row r="206" spans="1:5" x14ac:dyDescent="0.45">
      <c r="A206" s="309" t="s">
        <v>369</v>
      </c>
    </row>
    <row r="207" spans="1:5" x14ac:dyDescent="0.45">
      <c r="A207" s="309" t="s">
        <v>370</v>
      </c>
    </row>
  </sheetData>
  <dataConsolidate/>
  <phoneticPr fontId="1"/>
  <conditionalFormatting sqref="A13:A14">
    <cfRule type="containsText" dxfId="57" priority="20" operator="containsText" text="↓">
      <formula>NOT(ISERROR(SEARCH("↓",A13)))</formula>
    </cfRule>
    <cfRule type="containsBlanks" dxfId="56" priority="21">
      <formula>LEN(TRIM(A13))=0</formula>
    </cfRule>
  </conditionalFormatting>
  <conditionalFormatting sqref="A30">
    <cfRule type="containsText" dxfId="55" priority="704" operator="containsText" text="↓">
      <formula>NOT(ISERROR(SEARCH("↓",A30)))</formula>
    </cfRule>
  </conditionalFormatting>
  <conditionalFormatting sqref="A31:A36">
    <cfRule type="cellIs" dxfId="54" priority="811" operator="equal">
      <formula>"↓"</formula>
    </cfRule>
  </conditionalFormatting>
  <conditionalFormatting sqref="A37">
    <cfRule type="containsText" dxfId="53" priority="19" operator="containsText" text="↓">
      <formula>NOT(ISERROR(SEARCH("↓",A37)))</formula>
    </cfRule>
  </conditionalFormatting>
  <conditionalFormatting sqref="A37:A53">
    <cfRule type="containsBlanks" dxfId="52" priority="18">
      <formula>LEN(TRIM(A37))=0</formula>
    </cfRule>
  </conditionalFormatting>
  <conditionalFormatting sqref="A38:A41">
    <cfRule type="cellIs" dxfId="51" priority="809" operator="equal">
      <formula>"↓"</formula>
    </cfRule>
  </conditionalFormatting>
  <conditionalFormatting sqref="A42:A53">
    <cfRule type="containsText" dxfId="50" priority="765" operator="containsText" text="↓">
      <formula>NOT(ISERROR(SEARCH("↓",A42)))</formula>
    </cfRule>
  </conditionalFormatting>
  <conditionalFormatting sqref="A55:A71">
    <cfRule type="cellIs" dxfId="49" priority="794" operator="equal">
      <formula>"↓"</formula>
    </cfRule>
  </conditionalFormatting>
  <conditionalFormatting sqref="A55:A122">
    <cfRule type="containsBlanks" dxfId="48" priority="762">
      <formula>LEN(TRIM(A55))=0</formula>
    </cfRule>
  </conditionalFormatting>
  <conditionalFormatting sqref="A72:A122">
    <cfRule type="containsText" dxfId="47" priority="761" operator="containsText" text="↓">
      <formula>NOT(ISERROR(SEARCH("↓",A72)))</formula>
    </cfRule>
  </conditionalFormatting>
  <conditionalFormatting sqref="A124:A127">
    <cfRule type="cellIs" dxfId="46" priority="791" operator="equal">
      <formula>"↓"</formula>
    </cfRule>
  </conditionalFormatting>
  <conditionalFormatting sqref="A124:A139">
    <cfRule type="containsBlanks" dxfId="45" priority="760">
      <formula>LEN(TRIM(A124))=0</formula>
    </cfRule>
  </conditionalFormatting>
  <conditionalFormatting sqref="A128:A139">
    <cfRule type="containsText" dxfId="44" priority="759" operator="containsText" text="↓">
      <formula>NOT(ISERROR(SEARCH("↓",A128)))</formula>
    </cfRule>
  </conditionalFormatting>
  <conditionalFormatting sqref="A141:A144">
    <cfRule type="cellIs" dxfId="43" priority="788" operator="equal">
      <formula>"↓"</formula>
    </cfRule>
  </conditionalFormatting>
  <conditionalFormatting sqref="A141:A156">
    <cfRule type="containsBlanks" dxfId="42" priority="758">
      <formula>LEN(TRIM(A141))=0</formula>
    </cfRule>
  </conditionalFormatting>
  <conditionalFormatting sqref="A145:A156">
    <cfRule type="containsText" dxfId="41" priority="757" operator="containsText" text="↓">
      <formula>NOT(ISERROR(SEARCH("↓",A145)))</formula>
    </cfRule>
  </conditionalFormatting>
  <conditionalFormatting sqref="A158:A161">
    <cfRule type="cellIs" dxfId="40" priority="782" operator="equal">
      <formula>"↓"</formula>
    </cfRule>
  </conditionalFormatting>
  <conditionalFormatting sqref="A158:A173">
    <cfRule type="containsBlanks" dxfId="39" priority="754">
      <formula>LEN(TRIM(A158))=0</formula>
    </cfRule>
  </conditionalFormatting>
  <conditionalFormatting sqref="A162:A173">
    <cfRule type="containsText" dxfId="38" priority="753" operator="containsText" text="↓">
      <formula>NOT(ISERROR(SEARCH("↓",A162)))</formula>
    </cfRule>
  </conditionalFormatting>
  <conditionalFormatting sqref="A175:A178">
    <cfRule type="cellIs" dxfId="37" priority="776" operator="equal">
      <formula>"↓"</formula>
    </cfRule>
  </conditionalFormatting>
  <conditionalFormatting sqref="A175:A186">
    <cfRule type="containsBlanks" dxfId="36" priority="750">
      <formula>LEN(TRIM(A175))=0</formula>
    </cfRule>
  </conditionalFormatting>
  <conditionalFormatting sqref="A179:A186">
    <cfRule type="containsText" dxfId="35" priority="749" operator="containsText" text="↓">
      <formula>NOT(ISERROR(SEARCH("↓",A179)))</formula>
    </cfRule>
  </conditionalFormatting>
  <conditionalFormatting sqref="A188">
    <cfRule type="cellIs" dxfId="34" priority="773" operator="equal">
      <formula>"↓"</formula>
    </cfRule>
  </conditionalFormatting>
  <conditionalFormatting sqref="A188:A190">
    <cfRule type="containsBlanks" dxfId="33" priority="748">
      <formula>LEN(TRIM(A188))=0</formula>
    </cfRule>
  </conditionalFormatting>
  <conditionalFormatting sqref="A189:A190">
    <cfRule type="containsText" dxfId="32" priority="747" operator="containsText" text="↓">
      <formula>NOT(ISERROR(SEARCH("↓",A189)))</formula>
    </cfRule>
  </conditionalFormatting>
  <conditionalFormatting sqref="B29">
    <cfRule type="expression" dxfId="31" priority="705">
      <formula>$A29="－"</formula>
    </cfRule>
  </conditionalFormatting>
  <conditionalFormatting sqref="B30:B36">
    <cfRule type="expression" dxfId="30" priority="730">
      <formula>$A30="↓"</formula>
    </cfRule>
  </conditionalFormatting>
  <conditionalFormatting sqref="B38:B53">
    <cfRule type="expression" dxfId="29" priority="203">
      <formula>COUNTIF($A38,"*↓*")</formula>
    </cfRule>
  </conditionalFormatting>
  <conditionalFormatting sqref="B55:B122">
    <cfRule type="expression" dxfId="28" priority="120">
      <formula>COUNTIF($A55,"*↓*")</formula>
    </cfRule>
  </conditionalFormatting>
  <conditionalFormatting sqref="B124:B139">
    <cfRule type="expression" dxfId="27" priority="104">
      <formula>COUNTIF($A124,"*↓*")</formula>
    </cfRule>
  </conditionalFormatting>
  <conditionalFormatting sqref="B141:B156">
    <cfRule type="expression" dxfId="26" priority="88">
      <formula>COUNTIF($A141,"*↓*")</formula>
    </cfRule>
  </conditionalFormatting>
  <conditionalFormatting sqref="B158:B173">
    <cfRule type="expression" dxfId="25" priority="56">
      <formula>COUNTIF($A158,"*↓*")</formula>
    </cfRule>
  </conditionalFormatting>
  <conditionalFormatting sqref="B175:B186">
    <cfRule type="expression" dxfId="24" priority="26">
      <formula>COUNTIF($A175,"*↓*")</formula>
    </cfRule>
  </conditionalFormatting>
  <conditionalFormatting sqref="B188:B190">
    <cfRule type="expression" dxfId="23" priority="23">
      <formula>COUNTIF($A188,"*↓*")</formula>
    </cfRule>
  </conditionalFormatting>
  <conditionalFormatting sqref="C44 C47 C50 C53">
    <cfRule type="containsText" dxfId="21" priority="17" operator="containsText" text="←">
      <formula>NOT(ISERROR(SEARCH("←",C44)))</formula>
    </cfRule>
  </conditionalFormatting>
  <conditionalFormatting sqref="C74 C77 C80 C83 C86 C89 C92 C95 C98 C101 C104 C107 C110 C113 C116 C119 C122">
    <cfRule type="containsText" dxfId="20" priority="16" operator="containsText" text="←">
      <formula>NOT(ISERROR(SEARCH("←",C74)))</formula>
    </cfRule>
  </conditionalFormatting>
  <conditionalFormatting sqref="C130 C133 C136 C139">
    <cfRule type="containsText" dxfId="19" priority="15" operator="containsText" text="←">
      <formula>NOT(ISERROR(SEARCH("←",C130)))</formula>
    </cfRule>
  </conditionalFormatting>
  <conditionalFormatting sqref="C147 C150 C153 C156">
    <cfRule type="containsText" dxfId="18" priority="14" operator="containsText" text="←">
      <formula>NOT(ISERROR(SEARCH("←",C147)))</formula>
    </cfRule>
  </conditionalFormatting>
  <conditionalFormatting sqref="C164 C167 C170 C173">
    <cfRule type="containsText" dxfId="17" priority="13" operator="containsText" text="←">
      <formula>NOT(ISERROR(SEARCH("←",C164)))</formula>
    </cfRule>
  </conditionalFormatting>
  <conditionalFormatting sqref="A54">
    <cfRule type="containsBlanks" dxfId="11" priority="11">
      <formula>LEN(TRIM(A54))=0</formula>
    </cfRule>
  </conditionalFormatting>
  <conditionalFormatting sqref="A54">
    <cfRule type="containsText" dxfId="10" priority="12" operator="containsText" text="↓">
      <formula>NOT(ISERROR(SEARCH("↓",A54)))</formula>
    </cfRule>
  </conditionalFormatting>
  <conditionalFormatting sqref="A123">
    <cfRule type="containsBlanks" dxfId="9" priority="9">
      <formula>LEN(TRIM(A123))=0</formula>
    </cfRule>
  </conditionalFormatting>
  <conditionalFormatting sqref="A123">
    <cfRule type="containsText" dxfId="8" priority="10" operator="containsText" text="↓">
      <formula>NOT(ISERROR(SEARCH("↓",A123)))</formula>
    </cfRule>
  </conditionalFormatting>
  <conditionalFormatting sqref="A140">
    <cfRule type="containsBlanks" dxfId="7" priority="7">
      <formula>LEN(TRIM(A140))=0</formula>
    </cfRule>
  </conditionalFormatting>
  <conditionalFormatting sqref="A140">
    <cfRule type="containsText" dxfId="6" priority="8" operator="containsText" text="↓">
      <formula>NOT(ISERROR(SEARCH("↓",A140)))</formula>
    </cfRule>
  </conditionalFormatting>
  <conditionalFormatting sqref="A157">
    <cfRule type="containsBlanks" dxfId="5" priority="5">
      <formula>LEN(TRIM(A157))=0</formula>
    </cfRule>
  </conditionalFormatting>
  <conditionalFormatting sqref="A157">
    <cfRule type="containsText" dxfId="4" priority="6" operator="containsText" text="↓">
      <formula>NOT(ISERROR(SEARCH("↓",A157)))</formula>
    </cfRule>
  </conditionalFormatting>
  <conditionalFormatting sqref="A174">
    <cfRule type="containsBlanks" dxfId="3" priority="3">
      <formula>LEN(TRIM(A174))=0</formula>
    </cfRule>
  </conditionalFormatting>
  <conditionalFormatting sqref="A174">
    <cfRule type="containsText" dxfId="2" priority="4" operator="containsText" text="↓">
      <formula>NOT(ISERROR(SEARCH("↓",A174)))</formula>
    </cfRule>
  </conditionalFormatting>
  <conditionalFormatting sqref="A187">
    <cfRule type="containsBlanks" dxfId="1" priority="2">
      <formula>LEN(TRIM(A187))=0</formula>
    </cfRule>
  </conditionalFormatting>
  <conditionalFormatting sqref="A187">
    <cfRule type="containsText" dxfId="0" priority="1" operator="containsText" text="↓">
      <formula>NOT(ISERROR(SEARCH("↓",A187)))</formula>
    </cfRule>
  </conditionalFormatting>
  <dataValidations count="3">
    <dataValidation type="list" allowBlank="1" showInputMessage="1" showErrorMessage="1" sqref="B3" xr:uid="{00000000-0002-0000-0700-000000000000}">
      <formula1>"単一,地区連,町自連,都町連"</formula1>
    </dataValidation>
    <dataValidation type="list" allowBlank="1" showInputMessage="1" showErrorMessage="1" sqref="B157:B161 B174:B178 B37:B41 B54:B71 B123:B127 B140:B144 B187:B188" xr:uid="{00000000-0002-0000-0700-000001000000}">
      <formula1>"はい,いいえ"</formula1>
    </dataValidation>
    <dataValidation type="list" allowBlank="1" showInputMessage="1" showErrorMessage="1" sqref="B27:B28" xr:uid="{00000000-0002-0000-0700-000002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必ずお読みください</vt:lpstr>
      <vt:lpstr>入力フォーム</vt:lpstr>
      <vt:lpstr>第１－１号様式</vt:lpstr>
      <vt:lpstr>第１－１号様式別紙</vt:lpstr>
      <vt:lpstr>収支予算書</vt:lpstr>
      <vt:lpstr>変更申請入力フォーム</vt:lpstr>
      <vt:lpstr>第７号様式</vt:lpstr>
      <vt:lpstr>積算明細書</vt:lpstr>
      <vt:lpstr>実績入力フォーム</vt:lpstr>
      <vt:lpstr>第10－１号様式</vt:lpstr>
      <vt:lpstr>決算書</vt:lpstr>
      <vt:lpstr>実績報告内容確認書C区分</vt:lpstr>
      <vt:lpstr>実績報告内容確認書D区分</vt:lpstr>
      <vt:lpstr>'第10－１号様式'!OLE_LINK15</vt:lpstr>
      <vt:lpstr>'第１－１号様式'!OLE_LINK15</vt:lpstr>
      <vt:lpstr>第７号様式!OLE_LINK15</vt:lpstr>
      <vt:lpstr>決算書!Print_Area</vt:lpstr>
      <vt:lpstr>実績報告内容確認書C区分!Print_Area</vt:lpstr>
      <vt:lpstr>収支予算書!Print_Area</vt:lpstr>
      <vt:lpstr>積算明細書!Print_Area</vt:lpstr>
      <vt:lpstr>'第10－１号様式'!Print_Area</vt:lpstr>
      <vt:lpstr>'第１－１号様式'!Print_Area</vt:lpstr>
      <vt:lpstr>'第１－１号様式別紙'!Print_Area</vt:lpstr>
      <vt:lpstr>第７号様式!Print_Area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町田　智</cp:lastModifiedBy>
  <cp:lastPrinted>2025-01-24T05:48:28Z</cp:lastPrinted>
  <dcterms:created xsi:type="dcterms:W3CDTF">2024-10-21T02:34:29Z</dcterms:created>
  <dcterms:modified xsi:type="dcterms:W3CDTF">2025-03-14T04:18:39Z</dcterms:modified>
</cp:coreProperties>
</file>