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保護者負担軽減担当\11_（高校）就学支援金\08_家計急変\050700 申請者の手引き等\01_申請の手引き\02_第2版\00_作業部屋\"/>
    </mc:Choice>
  </mc:AlternateContent>
  <bookViews>
    <workbookView xWindow="-28920" yWindow="15" windowWidth="29040" windowHeight="6690"/>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1" l="1"/>
  <c r="M13" i="11" s="1"/>
  <c r="C14" i="20"/>
  <c r="D9" i="16"/>
  <c r="D10" i="16" s="1"/>
  <c r="D9" i="18"/>
  <c r="D10" i="18" s="1"/>
  <c r="D9" i="17"/>
  <c r="D10" i="17" s="1"/>
  <c r="H14" i="21"/>
  <c r="J6" i="17"/>
  <c r="H19" i="20"/>
  <c r="H18" i="20"/>
  <c r="H17" i="20"/>
  <c r="H16" i="20"/>
  <c r="H15" i="20"/>
  <c r="H14" i="20"/>
  <c r="L21" i="18"/>
  <c r="L19" i="18"/>
  <c r="J21" i="18"/>
  <c r="J20" i="18"/>
  <c r="L20" i="18" s="1"/>
  <c r="J19" i="18"/>
  <c r="J18" i="18"/>
  <c r="L18" i="18" s="1"/>
  <c r="J16" i="18"/>
  <c r="J15" i="18"/>
  <c r="J14" i="18"/>
  <c r="J13" i="18"/>
  <c r="J12" i="18"/>
  <c r="I9" i="17" l="1"/>
  <c r="I10" i="17" s="1"/>
  <c r="E9" i="16"/>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J14" i="16"/>
  <c r="K15" i="18"/>
  <c r="L15" i="18" s="1"/>
  <c r="E5" i="18"/>
  <c r="C5" i="18"/>
  <c r="C4" i="18"/>
  <c r="E5" i="17"/>
  <c r="C5" i="17"/>
  <c r="I4" i="17"/>
  <c r="N18" i="17" s="1"/>
  <c r="O18" i="17" s="1"/>
  <c r="C4" i="17"/>
  <c r="I4" i="16"/>
  <c r="P16" i="16" s="1"/>
  <c r="J16" i="16"/>
  <c r="J15" i="16"/>
  <c r="J13" i="16"/>
  <c r="J12" i="16"/>
  <c r="J25" i="16"/>
  <c r="O25" i="16" s="1"/>
  <c r="J23" i="16"/>
  <c r="O23" i="16" s="1"/>
  <c r="J22" i="16"/>
  <c r="O22" i="16" s="1"/>
  <c r="J21" i="16"/>
  <c r="O21" i="16" s="1"/>
  <c r="P25" i="16"/>
  <c r="Q25" i="16" s="1"/>
  <c r="P23" i="16"/>
  <c r="P22" i="16"/>
  <c r="P21" i="16"/>
  <c r="C5" i="16"/>
  <c r="C4" i="16"/>
  <c r="Q22" i="16" l="1"/>
  <c r="Q21" i="16"/>
  <c r="Q23" i="16"/>
  <c r="Q24" i="16"/>
  <c r="H10" i="18"/>
  <c r="I9" i="18"/>
  <c r="I10" i="18" s="1"/>
  <c r="H10" i="17"/>
  <c r="H10" i="16"/>
  <c r="I5" i="17"/>
  <c r="N21" i="23" s="1"/>
  <c r="O16" i="16"/>
  <c r="Q16" i="16" s="1"/>
  <c r="K13" i="18"/>
  <c r="L13" i="18" s="1"/>
  <c r="K14" i="18"/>
  <c r="L14" i="18" s="1"/>
  <c r="K16" i="18"/>
  <c r="L16" i="18" s="1"/>
  <c r="K12" i="18"/>
  <c r="L12" i="18" s="1"/>
  <c r="N21" i="18" l="1"/>
  <c r="D28" i="11" s="1"/>
  <c r="AE17"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X6" i="23" l="1"/>
  <c r="W6" i="23" s="1"/>
  <c r="T10" i="23"/>
  <c r="S10" i="23" s="1"/>
  <c r="T7" i="23"/>
  <c r="S7" i="23" s="1"/>
  <c r="X10" i="23"/>
  <c r="W10" i="23" s="1"/>
  <c r="X9" i="23"/>
  <c r="W9" i="23" s="1"/>
  <c r="T6" i="23"/>
  <c r="S6" i="23" s="1"/>
  <c r="AB9" i="23"/>
  <c r="AA9" i="23" s="1"/>
  <c r="T8" i="23"/>
  <c r="S8" i="23" s="1"/>
  <c r="X7" i="23"/>
  <c r="W7" i="23" s="1"/>
  <c r="AB7" i="23"/>
  <c r="AA7" i="23" s="1"/>
  <c r="AB6" i="23"/>
  <c r="AA6" i="23" s="1"/>
  <c r="AB18" i="23"/>
  <c r="AA18" i="23" s="1"/>
  <c r="T9" i="23"/>
  <c r="S9" i="23" s="1"/>
  <c r="AB8" i="23"/>
  <c r="AA8" i="23" s="1"/>
  <c r="AB10" i="23"/>
  <c r="AA10" i="23" s="1"/>
  <c r="X8" i="23"/>
  <c r="W8" i="23" s="1"/>
  <c r="Q23" i="23"/>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authors>
    <author>渡邊恭男</author>
  </authors>
  <commentList>
    <comment ref="E7" authorId="0" shapeId="0">
      <text>
        <r>
          <rPr>
            <sz val="9"/>
            <color indexed="81"/>
            <rFont val="MS P ゴシック"/>
            <family val="3"/>
            <charset val="128"/>
          </rPr>
          <t>「yyyy/m/d」で入力してください。</t>
        </r>
      </text>
    </comment>
    <comment ref="I7" authorId="0" shapeId="0">
      <text>
        <r>
          <rPr>
            <sz val="9"/>
            <color indexed="81"/>
            <rFont val="MS P ゴシック"/>
            <family val="3"/>
            <charset val="128"/>
          </rPr>
          <t>「yyyy/m/d」で入力してください。</t>
        </r>
      </text>
    </comment>
    <comment ref="M7" authorId="0" shapeId="0">
      <text>
        <r>
          <rPr>
            <sz val="9"/>
            <color indexed="81"/>
            <rFont val="MS P ゴシック"/>
            <family val="3"/>
            <charset val="128"/>
          </rPr>
          <t>年月を選択してください。</t>
        </r>
      </text>
    </comment>
    <comment ref="I10" authorId="0" shapeId="0">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authors>
    <author>渡邊恭男</author>
  </authors>
  <commentList>
    <comment ref="AD9" authorId="0" shapeId="0">
      <text>
        <r>
          <rPr>
            <sz val="9"/>
            <color indexed="81"/>
            <rFont val="MS P ゴシック"/>
            <family val="3"/>
            <charset val="128"/>
          </rPr>
          <t>850万円以下の場合「0」が表示される設定</t>
        </r>
      </text>
    </comment>
    <comment ref="AD16" authorId="0" shapeId="0">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<sst xmlns="http://schemas.openxmlformats.org/spreadsheetml/2006/main" count="251" uniqueCount="163">
  <si>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</si>
  <si>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</si>
  <si>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</si>
  <si>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</si>
  <si>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</si>
  <si>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</si>
  <si>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</si>
  <si>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</si>
  <si>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</si>
  <si>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</si>
  <si>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</si>
  <si>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</si>
  <si>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</si>
  <si>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</si>
  <si>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</si>
  <si>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</si>
  <si>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</si>
  <si>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</si>
  <si>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</si>
  <si>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</si>
  <si>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</si>
  <si>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</si>
  <si>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</si>
  <si>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</si>
  <si>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</si>
  <si>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</si>
  <si>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</si>
  <si>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</si>
  <si>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</si>
  <si>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</si>
  <si>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</si>
  <si>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</si>
  <si>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</si>
  <si>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</si>
  <si>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</si>
  <si>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</si>
  <si>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</si>
  <si>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</si>
  <si>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</si>
  <si>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</si>
  <si>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</si>
  <si>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</si>
  <si>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</si>
  <si>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</si>
  <si>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</si>
  <si>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</si>
  <si>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</si>
  <si>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</si>
  <si>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</si>
  <si>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</si>
  <si>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</si>
  <si>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</si>
  <si>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</si>
  <si>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</si>
  <si>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</si>
  <si>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</si>
  <si>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</si>
  <si>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</si>
  <si>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</si>
  <si>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</si>
  <si>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</si>
  <si>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</si>
  <si>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</si>
  <si>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</si>
  <si>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</si>
  <si>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</si>
  <si>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</si>
  <si>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</si>
  <si>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</si>
  <si>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</si>
  <si>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</si>
  <si>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</si>
  <si>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</si>
  <si>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</si>
  <si>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</si>
  <si>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</si>
  <si>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</si>
  <si>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</si>
  <si>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</si>
  <si>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</si>
  <si>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</si>
  <si>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</si>
  <si>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</si>
  <si>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</si>
  <si>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</si>
  <si>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</si>
  <si>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</si>
  <si>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</si>
  <si>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</si>
  <si>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</si>
  <si>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</si>
  <si>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</si>
  <si>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</si>
  <si>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</si>
  <si>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</si>
  <si>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</si>
  <si>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</si>
  <si>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</si>
  <si>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</si>
  <si>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</si>
  <si>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</si>
  <si>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</si>
  <si>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</si>
  <si>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</si>
  <si>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</si>
  <si>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</si>
  <si>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</si>
  <si>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</si>
  <si>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</si>
  <si>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</si>
  <si>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</si>
  <si>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</si>
  <si>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</si>
  <si>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</si>
  <si>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</si>
  <si>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</si>
  <si>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</si>
  <si>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</si>
  <si>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</si>
  <si>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</si>
  <si>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</si>
  <si>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</si>
  <si>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</si>
  <si>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</si>
  <si>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</si>
  <si>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</si>
  <si>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</si>
  <si>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</si>
  <si>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</si>
  <si>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</si>
  <si>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</si>
  <si>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</si>
  <si>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</si>
  <si>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</si>
  <si>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</si>
  <si>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</si>
  <si>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</si>
  <si>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</si>
  <si>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</si>
  <si>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</si>
  <si>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</si>
  <si>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</si>
  <si>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</si>
  <si>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</si>
  <si>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</si>
  <si>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</si>
  <si>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</si>
  <si>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</si>
  <si>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</si>
  <si>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</si>
  <si>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</si>
  <si>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</si>
  <si>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</si>
  <si>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</si>
  <si>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</si>
  <si>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</si>
  <si>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t>○高等学校等就学支援金（家計急変支援制度）における年収推計シート（総表）</t>
    <rPh sb="16" eb="18">
      <t>シエン</t>
    </rPh>
    <rPh sb="18" eb="20">
      <t>セイド</t>
    </rPh>
    <rPh sb="27" eb="29">
      <t>スイケイ</t>
    </rPh>
    <rPh sb="33" eb="34">
      <t>ソウ</t>
    </rPh>
    <rPh sb="34" eb="35">
      <t>ヒョウ</t>
    </rPh>
    <phoneticPr fontId="1"/>
  </si>
  <si>
    <t>○高等学校等就学支援金（家計急変支援制度）における年収推計シート（別紙１）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</si>
  <si>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</si>
  <si>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0" eb="32">
      <t>ベッシ</t>
    </rPh>
    <phoneticPr fontId="1"/>
  </si>
  <si>
    <t>○高等学校等就学支援金（家計急変支援制度）における年収推計シート（別紙３-１）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</si>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</sst>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cellStyle name="標準" xfId="0" builtinId="0"/>
    <cellStyle name="標準 2" xfId="2"/>
    <cellStyle name="標準 3" xfId="3"/>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pageSetUpPr fitToPage="1"/>
  </sheetPr>
  <dimension ref="B3:Q29"/>
  <sheetViews>
    <sheetView showGridLines="0" tabSelected="1" view="pageBreakPreview" zoomScale="85" zoomScaleNormal="100" zoomScaleSheetLayoutView="85" workbookViewId="0">
      <selection activeCell="P15" sqref="P15"/>
    </sheetView>
  </sheetViews>
  <sheetFormatPr defaultColWidth="8.75" defaultRowHeight="18.75"/>
  <cols>
    <col min="1" max="1" width="8.75" style="10"/>
    <col min="2" max="3" width="1.5" style="10" customWidth="1"/>
    <col min="4" max="4" width="21" style="10" customWidth="1"/>
    <col min="5" max="5" width="8.75" style="10"/>
    <col min="6" max="6" width="21" style="10" customWidth="1"/>
    <col min="7" max="7" width="8.75" style="10"/>
    <col min="8" max="8" width="21" style="10" customWidth="1"/>
    <col min="9" max="9" width="8.75" style="10"/>
    <col min="10" max="10" width="21" style="10" customWidth="1"/>
    <col min="11" max="11" width="1.375" style="10" customWidth="1"/>
    <col min="12" max="12" width="7.25" style="10" customWidth="1"/>
    <col min="13" max="13" width="21" style="10" customWidth="1"/>
    <col min="14" max="15" width="1.5" style="10" customWidth="1"/>
    <col min="16" max="16384" width="8.75" style="10"/>
  </cols>
  <sheetData>
    <row r="3" spans="2:17" ht="57.6" customHeight="1">
      <c r="B3" s="175" t="s">
        <v>156</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c r="F6" s="177"/>
      <c r="H6" s="102" t="s">
        <v>34</v>
      </c>
      <c r="I6" s="176"/>
      <c r="J6" s="177"/>
      <c r="K6" s="103"/>
      <c r="M6" s="104" t="s">
        <v>43</v>
      </c>
    </row>
    <row r="7" spans="2:17" ht="21.6" customHeight="1">
      <c r="D7" s="178" t="s">
        <v>154</v>
      </c>
      <c r="E7" s="180"/>
      <c r="F7" s="181"/>
      <c r="H7" s="178" t="s">
        <v>35</v>
      </c>
      <c r="I7" s="180"/>
      <c r="J7" s="181"/>
      <c r="K7" s="105"/>
      <c r="M7" s="131"/>
      <c r="Q7" s="117"/>
    </row>
    <row r="8" spans="2:17" ht="21.6" customHeight="1" thickBot="1">
      <c r="D8" s="179"/>
      <c r="E8" s="182"/>
      <c r="F8" s="183"/>
      <c r="H8" s="179"/>
      <c r="I8" s="182"/>
      <c r="J8" s="183"/>
      <c r="K8" s="105"/>
      <c r="M8" s="132"/>
    </row>
    <row r="9" spans="2:17" ht="7.15" customHeight="1" thickBot="1">
      <c r="D9" s="12"/>
      <c r="E9" s="105"/>
      <c r="F9" s="105"/>
      <c r="H9" s="12"/>
      <c r="I9" s="105"/>
      <c r="J9" s="105"/>
      <c r="K9" s="105"/>
      <c r="M9" s="106"/>
    </row>
    <row r="10" spans="2:17" ht="20.45" customHeight="1">
      <c r="D10" s="169" t="s">
        <v>155</v>
      </c>
      <c r="E10" s="170"/>
      <c r="F10" s="170"/>
      <c r="G10" s="170"/>
      <c r="H10" s="171"/>
      <c r="I10" s="165"/>
      <c r="J10" s="166"/>
      <c r="M10" s="163">
        <f>IFERROR(IF(DATEDIF(M7,M8,"M")+1&gt;6,"Error !!",DATEDIF(M7,M8,"M")+1),"Error !!")</f>
        <v>1</v>
      </c>
    </row>
    <row r="11" spans="2:17" ht="20.45" customHeight="1" thickBot="1">
      <c r="D11" s="172"/>
      <c r="E11" s="173"/>
      <c r="F11" s="173"/>
      <c r="G11" s="173"/>
      <c r="H11" s="174"/>
      <c r="I11" s="167"/>
      <c r="J11" s="168"/>
      <c r="M11" s="164"/>
    </row>
    <row r="12" spans="2:17" ht="9" customHeight="1" thickBot="1">
      <c r="M12" s="107"/>
    </row>
    <row r="13" spans="2:17" ht="43.15" customHeight="1" thickBot="1">
      <c r="D13" s="160" t="s">
        <v>130</v>
      </c>
      <c r="E13" s="161"/>
      <c r="F13" s="161"/>
      <c r="G13" s="161"/>
      <c r="H13" s="161"/>
      <c r="I13" s="162"/>
      <c r="J13" s="130"/>
      <c r="M13" s="144" t="str">
        <f>IF(M10="Error !!","※上記提出期間の設定に誤りがあります。","")</f>
        <v/>
      </c>
    </row>
    <row r="14" spans="2:17" ht="9" customHeight="1">
      <c r="M14" s="107"/>
    </row>
    <row r="15" spans="2:17">
      <c r="C15" s="10" t="s">
        <v>77</v>
      </c>
    </row>
    <row r="16" spans="2:17" ht="7.15" customHeight="1" thickBot="1"/>
    <row r="17" spans="3:15" ht="39" customHeight="1" thickBot="1">
      <c r="D17" s="11" t="s">
        <v>36</v>
      </c>
      <c r="E17" s="13"/>
      <c r="F17" s="11" t="s">
        <v>41</v>
      </c>
      <c r="G17" s="13"/>
      <c r="H17" s="11" t="s">
        <v>70</v>
      </c>
      <c r="I17" s="13"/>
      <c r="J17" s="11" t="s">
        <v>32</v>
      </c>
      <c r="K17" s="13"/>
      <c r="L17" s="13"/>
      <c r="M17" s="11" t="s">
        <v>69</v>
      </c>
    </row>
    <row r="18" spans="3:15" ht="39" customHeight="1" thickBot="1">
      <c r="D18" s="108">
        <f>別紙1!S25</f>
        <v>0</v>
      </c>
      <c r="F18" s="108">
        <f>'（削除不可）給与・年金所得計算'!G22</f>
        <v>0</v>
      </c>
      <c r="H18" s="108">
        <f>'（削除不可）給与・年金所得計算'!G18</f>
        <v>0</v>
      </c>
      <c r="J18" s="108">
        <f>'（削除不可）給与・年金所得計算'!AG11</f>
        <v>0</v>
      </c>
      <c r="K18" s="109"/>
      <c r="M18" s="108">
        <f>H18-J18</f>
        <v>0</v>
      </c>
    </row>
    <row r="19" spans="3:15">
      <c r="M19" s="110" t="s">
        <v>3</v>
      </c>
    </row>
    <row r="20" spans="3:15">
      <c r="C20" s="10" t="s">
        <v>39</v>
      </c>
    </row>
    <row r="21" spans="3:15" ht="7.15" customHeight="1" thickBot="1"/>
    <row r="22" spans="3:15" ht="39" customHeight="1" thickBot="1">
      <c r="D22" s="11" t="s">
        <v>37</v>
      </c>
      <c r="E22" s="13"/>
      <c r="F22" s="11" t="s">
        <v>40</v>
      </c>
      <c r="G22" s="13"/>
      <c r="H22" s="11" t="s">
        <v>42</v>
      </c>
      <c r="L22" s="111" t="s">
        <v>118</v>
      </c>
      <c r="M22" s="112" t="s">
        <v>117</v>
      </c>
    </row>
    <row r="23" spans="3:15" ht="39" customHeight="1" thickBot="1">
      <c r="D23" s="108">
        <f>別紙2!O18</f>
        <v>0</v>
      </c>
      <c r="F23" s="108">
        <f>'（削除不可）給与・年金所得計算'!T23</f>
        <v>0</v>
      </c>
      <c r="H23" s="108">
        <f>'（削除不可）給与・年金所得計算'!S23</f>
        <v>0</v>
      </c>
      <c r="M23" s="108">
        <f>'（削除不可）給与・年金所得計算'!AE18</f>
        <v>0</v>
      </c>
      <c r="O23" s="113"/>
    </row>
    <row r="24" spans="3:15">
      <c r="H24" s="110" t="s">
        <v>3</v>
      </c>
      <c r="O24" s="114"/>
    </row>
    <row r="25" spans="3:15">
      <c r="C25" s="10" t="s">
        <v>84</v>
      </c>
    </row>
    <row r="26" spans="3:15" ht="7.15" customHeight="1" thickBot="1"/>
    <row r="27" spans="3:15" ht="39" customHeight="1" thickBot="1">
      <c r="D27" s="11" t="s">
        <v>38</v>
      </c>
      <c r="M27" s="11" t="s">
        <v>64</v>
      </c>
    </row>
    <row r="28" spans="3:15" ht="39" customHeight="1" thickBot="1">
      <c r="D28" s="108">
        <f>別紙3!N21</f>
        <v>0</v>
      </c>
      <c r="K28" s="114"/>
      <c r="L28" s="115" t="s">
        <v>58</v>
      </c>
      <c r="M28" s="108">
        <f>SUM(M18,H23,D28)</f>
        <v>0</v>
      </c>
      <c r="O28" s="113"/>
    </row>
    <row r="29" spans="3:15">
      <c r="D29" s="110" t="s">
        <v>3</v>
      </c>
      <c r="K29" s="114"/>
      <c r="L29" s="116"/>
      <c r="M29" s="114"/>
      <c r="O29" s="114"/>
    </row>
  </sheetData>
  <sheetProtection algorithmName="SHA-512" hashValue="z3LulmzYZQfIYYM9ZCRI1Blte+ynrwhZJ/gOhHXxLONnu6/2shgD6i3W6dS3NKDyxUf4FtebXQnKsdl4sSTTtQ==" saltValue="WzqKYogqMzU/Nq1T1aHcAw==" spinCount="100000"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formula1>"✓"</formula1>
    </dataValidation>
  </dataValidations>
  <printOptions horizontalCentered="1"/>
  <pageMargins left="0.70866141732283472" right="0.70866141732283472" top="0.74803149606299213" bottom="0.74803149606299213" header="0.31496062992125984" footer="0.31496062992125984"/>
  <pageSetup paperSize="9" scale="77"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'（削除不可）給与・年金所得計算'!$A$32:$A$57</xm:f>
          </x14:formula1>
          <xm:sqref>M7</xm:sqref>
        </x14:dataValidation>
        <x14:dataValidation type="list" allowBlank="1" showInputMessage="1" showErrorMessage="1">
          <x14:formula1>
            <xm:f>'（削除不可）給与・年金所得計算'!$A$36:$A$60</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T26"/>
  <sheetViews>
    <sheetView showGridLines="0" view="pageBreakPreview" zoomScale="55" zoomScaleNormal="100" zoomScaleSheetLayoutView="55" workbookViewId="0">
      <selection activeCell="L21" sqref="L21:M25"/>
    </sheetView>
  </sheetViews>
  <sheetFormatPr defaultColWidth="8.75" defaultRowHeight="18.75"/>
  <cols>
    <col min="1" max="1" width="8.75" style="67"/>
    <col min="2" max="2" width="1.75" style="67" customWidth="1"/>
    <col min="3" max="3" width="38" style="67" customWidth="1"/>
    <col min="4" max="10" width="14.75" style="67" customWidth="1"/>
    <col min="11" max="11" width="2.5" style="67" customWidth="1"/>
    <col min="12" max="13" width="4.75" style="67" customWidth="1"/>
    <col min="14" max="14" width="3.25" style="67" customWidth="1"/>
    <col min="15" max="15" width="14.75" style="67" customWidth="1"/>
    <col min="16" max="16" width="8.75" style="67"/>
    <col min="17" max="17" width="14.75" style="67" customWidth="1"/>
    <col min="18" max="18" width="8.75" style="67"/>
    <col min="19" max="19" width="14.75" style="67" customWidth="1"/>
    <col min="20" max="20" width="1.75" style="67" customWidth="1"/>
    <col min="21" max="21" width="8.75" style="67"/>
    <col min="22" max="22" width="11.5" style="67" customWidth="1"/>
    <col min="23" max="23" width="8.75" style="67"/>
    <col min="24" max="24" width="9.375" style="67" bestFit="1" customWidth="1"/>
    <col min="25" max="27" width="8.75" style="67"/>
    <col min="28" max="28" width="9.875" style="67" bestFit="1" customWidth="1"/>
    <col min="29" max="16384" width="8.75" style="67"/>
  </cols>
  <sheetData>
    <row r="1" spans="3:17" ht="30">
      <c r="C1" s="66" t="s">
        <v>157</v>
      </c>
    </row>
    <row r="2" spans="3:17" ht="12" customHeight="1">
      <c r="C2" s="68"/>
    </row>
    <row r="3" spans="3:17" ht="12" customHeight="1">
      <c r="C3" s="68"/>
    </row>
    <row r="4" spans="3:17" ht="39" customHeight="1">
      <c r="C4" s="145" t="str">
        <f>総表!D6&amp;"："&amp;総表!E6</f>
        <v>生徒氏名：</v>
      </c>
      <c r="D4" s="83"/>
      <c r="E4" s="74"/>
      <c r="F4" s="68"/>
      <c r="G4" s="186" t="s">
        <v>16</v>
      </c>
      <c r="H4" s="187"/>
      <c r="I4" s="148">
        <f>総表!M10</f>
        <v>1</v>
      </c>
      <c r="J4" s="149" t="s">
        <v>5</v>
      </c>
      <c r="K4" s="84"/>
      <c r="L4" s="68"/>
      <c r="M4" s="68"/>
      <c r="N4" s="68"/>
      <c r="O4" s="68"/>
      <c r="P4" s="68"/>
      <c r="Q4" s="68"/>
    </row>
    <row r="5" spans="3:17" ht="39" customHeight="1">
      <c r="C5" s="145" t="str">
        <f>総表!H6&amp;"："&amp;総表!I6</f>
        <v>家計急変者氏名：</v>
      </c>
      <c r="D5" s="146" t="s">
        <v>54</v>
      </c>
      <c r="E5" s="147" t="str">
        <f>IF(総表!I7="","",総表!I7)</f>
        <v/>
      </c>
      <c r="F5" s="146" t="s">
        <v>147</v>
      </c>
      <c r="G5" s="147">
        <f>総表!E7</f>
        <v>0</v>
      </c>
      <c r="H5" s="68"/>
      <c r="I5" s="75"/>
      <c r="J5" s="75"/>
      <c r="K5" s="68"/>
      <c r="L5" s="68"/>
      <c r="M5" s="68"/>
      <c r="N5" s="68"/>
      <c r="O5" s="68"/>
      <c r="P5" s="68"/>
      <c r="Q5" s="68"/>
    </row>
    <row r="6" spans="3:17" ht="12" customHeight="1">
      <c r="E6" s="76"/>
    </row>
    <row r="7" spans="3:17" ht="12" customHeight="1">
      <c r="E7" s="76"/>
    </row>
    <row r="8" spans="3:17" ht="24">
      <c r="C8" s="68" t="s">
        <v>82</v>
      </c>
      <c r="J8" s="77" t="s">
        <v>57</v>
      </c>
    </row>
    <row r="9" spans="3:17" ht="25.15" customHeight="1">
      <c r="C9" s="184" t="s">
        <v>4</v>
      </c>
      <c r="D9" s="150">
        <f>総表!M7</f>
        <v>0</v>
      </c>
      <c r="E9" s="150" t="str">
        <f>IF(総表!M10&gt;=2,EDATE(D9,1),"")</f>
        <v/>
      </c>
      <c r="F9" s="150" t="str">
        <f>IF(総表!M10&gt;=3,EDATE(E9,1),"")</f>
        <v/>
      </c>
      <c r="G9" s="150" t="str">
        <f>IF(総表!M10&gt;=4,EDATE(F9,1),"")</f>
        <v/>
      </c>
      <c r="H9" s="150" t="str">
        <f>IF(総表!M10&gt;=5,EDATE(G9,1),"")</f>
        <v/>
      </c>
      <c r="I9" s="150" t="str">
        <f>IF(総表!M10=6,EDATE(H9,1),"")</f>
        <v/>
      </c>
      <c r="J9" s="124" t="s">
        <v>51</v>
      </c>
    </row>
    <row r="10" spans="3:17" ht="25.15" customHeight="1">
      <c r="C10" s="185"/>
      <c r="D10" s="151">
        <f>D9</f>
        <v>0</v>
      </c>
      <c r="E10" s="151" t="str">
        <f t="shared" ref="E10:I10" si="0">E9</f>
        <v/>
      </c>
      <c r="F10" s="151" t="str">
        <f t="shared" si="0"/>
        <v/>
      </c>
      <c r="G10" s="151" t="str">
        <f>G9</f>
        <v/>
      </c>
      <c r="H10" s="151" t="str">
        <f t="shared" si="0"/>
        <v/>
      </c>
      <c r="I10" s="151" t="str">
        <f t="shared" si="0"/>
        <v/>
      </c>
      <c r="J10" s="125" t="s">
        <v>52</v>
      </c>
    </row>
    <row r="11" spans="3:17" ht="24">
      <c r="C11" s="123" t="s">
        <v>128</v>
      </c>
      <c r="D11" s="126"/>
      <c r="E11" s="126"/>
      <c r="F11" s="126"/>
      <c r="G11" s="126"/>
      <c r="H11" s="126"/>
      <c r="I11" s="126"/>
      <c r="J11" s="126"/>
      <c r="K11" s="79"/>
      <c r="L11" s="79"/>
      <c r="M11" s="79"/>
    </row>
    <row r="12" spans="3:17" ht="50.45" customHeight="1">
      <c r="C12" s="133" t="s">
        <v>129</v>
      </c>
      <c r="D12" s="134"/>
      <c r="E12" s="134"/>
      <c r="F12" s="134"/>
      <c r="G12" s="134"/>
      <c r="H12" s="134"/>
      <c r="I12" s="134"/>
      <c r="J12" s="85">
        <f>SUM(D12:I12)</f>
        <v>0</v>
      </c>
      <c r="K12" s="79"/>
      <c r="L12" s="79"/>
      <c r="M12" s="79"/>
    </row>
    <row r="13" spans="3:17" ht="50.45" customHeight="1">
      <c r="C13" s="133" t="s">
        <v>45</v>
      </c>
      <c r="D13" s="134"/>
      <c r="E13" s="134"/>
      <c r="F13" s="134"/>
      <c r="G13" s="134"/>
      <c r="H13" s="134"/>
      <c r="I13" s="134"/>
      <c r="J13" s="85">
        <f>SUM(D13:I13)</f>
        <v>0</v>
      </c>
      <c r="K13" s="79"/>
      <c r="L13" s="79"/>
      <c r="M13" s="79"/>
      <c r="P13" s="86"/>
    </row>
    <row r="14" spans="3:17" ht="50.45" customHeight="1">
      <c r="C14" s="133" t="s">
        <v>44</v>
      </c>
      <c r="D14" s="134"/>
      <c r="E14" s="134"/>
      <c r="F14" s="134"/>
      <c r="G14" s="134"/>
      <c r="H14" s="134"/>
      <c r="I14" s="134"/>
      <c r="J14" s="85">
        <f>SUM(D14:I14)</f>
        <v>0</v>
      </c>
      <c r="K14" s="79"/>
      <c r="L14" s="79"/>
      <c r="M14" s="79"/>
      <c r="O14" s="87"/>
      <c r="P14" s="88"/>
      <c r="Q14" s="87"/>
    </row>
    <row r="15" spans="3:17" ht="50.45" customHeight="1" thickBot="1">
      <c r="C15" s="133" t="s">
        <v>46</v>
      </c>
      <c r="D15" s="134"/>
      <c r="E15" s="134"/>
      <c r="F15" s="134"/>
      <c r="G15" s="134"/>
      <c r="H15" s="134"/>
      <c r="I15" s="134"/>
      <c r="J15" s="85">
        <f>SUM(D15:I15)</f>
        <v>0</v>
      </c>
      <c r="K15" s="79"/>
      <c r="L15" s="79"/>
      <c r="M15" s="79"/>
      <c r="O15" s="127" t="s">
        <v>50</v>
      </c>
      <c r="P15" s="88"/>
      <c r="Q15" s="127" t="s">
        <v>53</v>
      </c>
    </row>
    <row r="16" spans="3:17" ht="50.45" customHeight="1" thickBot="1">
      <c r="C16" s="133" t="s">
        <v>59</v>
      </c>
      <c r="D16" s="134"/>
      <c r="E16" s="134"/>
      <c r="F16" s="134"/>
      <c r="G16" s="134"/>
      <c r="H16" s="134"/>
      <c r="I16" s="134"/>
      <c r="J16" s="85">
        <f>SUM(D16:I16)</f>
        <v>0</v>
      </c>
      <c r="K16" s="79"/>
      <c r="L16" s="79"/>
      <c r="M16" s="79"/>
      <c r="O16" s="89">
        <f>SUM(J12:J16)</f>
        <v>0</v>
      </c>
      <c r="P16" s="90">
        <f>12/$I$4</f>
        <v>12</v>
      </c>
      <c r="Q16" s="89">
        <f>ROUNDDOWN(O16*P16,0)</f>
        <v>0</v>
      </c>
    </row>
    <row r="17" spans="3:20" ht="12" customHeight="1">
      <c r="C17" s="91"/>
      <c r="D17" s="92"/>
      <c r="E17" s="92"/>
      <c r="F17" s="92"/>
      <c r="G17" s="92"/>
      <c r="H17" s="92"/>
      <c r="I17" s="92"/>
      <c r="J17" s="92"/>
      <c r="K17" s="79"/>
      <c r="L17" s="79"/>
      <c r="M17" s="79"/>
      <c r="O17" s="79"/>
      <c r="P17" s="93"/>
      <c r="Q17" s="79"/>
    </row>
    <row r="18" spans="3:20" ht="52.9" customHeight="1">
      <c r="C18" s="188" t="s">
        <v>142</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4.75" thickBot="1">
      <c r="C20" s="80" t="s">
        <v>0</v>
      </c>
      <c r="D20" s="128"/>
      <c r="E20" s="128"/>
      <c r="F20" s="128"/>
      <c r="G20" s="128"/>
      <c r="H20" s="128"/>
      <c r="I20" s="128"/>
      <c r="J20" s="128"/>
      <c r="K20" s="79"/>
      <c r="L20" s="94" t="s">
        <v>47</v>
      </c>
      <c r="M20" s="94" t="s">
        <v>48</v>
      </c>
      <c r="O20" s="129" t="s">
        <v>49</v>
      </c>
      <c r="P20" s="90"/>
      <c r="Q20" s="127" t="s">
        <v>53</v>
      </c>
    </row>
    <row r="21" spans="3:20" ht="50.45" customHeight="1" thickBot="1">
      <c r="C21" s="133" t="s">
        <v>141</v>
      </c>
      <c r="D21" s="134"/>
      <c r="E21" s="134"/>
      <c r="F21" s="134"/>
      <c r="G21" s="134"/>
      <c r="H21" s="134"/>
      <c r="I21" s="134"/>
      <c r="J21" s="85">
        <f>SUM(D21:I21)</f>
        <v>0</v>
      </c>
      <c r="K21" s="79"/>
      <c r="L21" s="136"/>
      <c r="M21" s="136"/>
      <c r="O21" s="89">
        <f>J21</f>
        <v>0</v>
      </c>
      <c r="P21" s="90" t="str">
        <f>IFERROR(M21/L21,"-")</f>
        <v>-</v>
      </c>
      <c r="Q21" s="89" t="str">
        <f>IFERROR(ROUNDDOWN(O21*P21,0),"")</f>
        <v/>
      </c>
    </row>
    <row r="22" spans="3:20" ht="50.45" customHeight="1" thickBot="1">
      <c r="C22" s="133" t="s">
        <v>45</v>
      </c>
      <c r="D22" s="134"/>
      <c r="E22" s="134"/>
      <c r="F22" s="134"/>
      <c r="G22" s="134"/>
      <c r="H22" s="134"/>
      <c r="I22" s="134"/>
      <c r="J22" s="85">
        <f>SUM(D22:I22)</f>
        <v>0</v>
      </c>
      <c r="K22" s="79"/>
      <c r="L22" s="136"/>
      <c r="M22" s="136"/>
      <c r="O22" s="89">
        <f>J22</f>
        <v>0</v>
      </c>
      <c r="P22" s="90" t="str">
        <f>IFERROR(M22/L22,"-")</f>
        <v>-</v>
      </c>
      <c r="Q22" s="89" t="str">
        <f t="shared" ref="Q22:Q25" si="1">IFERROR(ROUNDDOWN(O22*P22,0),"")</f>
        <v/>
      </c>
    </row>
    <row r="23" spans="3:20" ht="50.45" customHeight="1" thickBot="1">
      <c r="C23" s="133" t="s">
        <v>44</v>
      </c>
      <c r="D23" s="134"/>
      <c r="E23" s="134"/>
      <c r="F23" s="134"/>
      <c r="G23" s="134"/>
      <c r="H23" s="134"/>
      <c r="I23" s="134"/>
      <c r="J23" s="85">
        <f>SUM(D23:I23)</f>
        <v>0</v>
      </c>
      <c r="K23" s="79"/>
      <c r="L23" s="136"/>
      <c r="M23" s="136"/>
      <c r="O23" s="89">
        <f>J23</f>
        <v>0</v>
      </c>
      <c r="P23" s="90" t="str">
        <f>IFERROR(M23/L23,"-")</f>
        <v>-</v>
      </c>
      <c r="Q23" s="89" t="str">
        <f t="shared" si="1"/>
        <v/>
      </c>
      <c r="S23" s="95"/>
      <c r="T23" s="79"/>
    </row>
    <row r="24" spans="3:20" ht="50.45" customHeight="1" thickBot="1">
      <c r="C24" s="133" t="s">
        <v>46</v>
      </c>
      <c r="D24" s="134"/>
      <c r="E24" s="134"/>
      <c r="F24" s="134"/>
      <c r="G24" s="134"/>
      <c r="H24" s="134"/>
      <c r="I24" s="134"/>
      <c r="J24" s="85">
        <f>SUM(D24:I24)</f>
        <v>0</v>
      </c>
      <c r="K24" s="79"/>
      <c r="L24" s="136"/>
      <c r="M24" s="136"/>
      <c r="O24" s="89">
        <f>J24</f>
        <v>0</v>
      </c>
      <c r="P24" s="90" t="str">
        <f>IFERROR(M24/L24,"-")</f>
        <v>-</v>
      </c>
      <c r="Q24" s="89" t="str">
        <f>IFERROR(ROUNDDOWN(O24*P24,0),"")</f>
        <v/>
      </c>
      <c r="S24" s="129" t="s">
        <v>53</v>
      </c>
      <c r="T24" s="79"/>
    </row>
    <row r="25" spans="3:20" ht="50.45" customHeight="1" thickTop="1" thickBot="1">
      <c r="C25" s="133" t="s">
        <v>59</v>
      </c>
      <c r="D25" s="134"/>
      <c r="E25" s="134"/>
      <c r="F25" s="134"/>
      <c r="G25" s="134"/>
      <c r="H25" s="134"/>
      <c r="I25" s="134"/>
      <c r="J25" s="85">
        <f>SUM(D25:I25)</f>
        <v>0</v>
      </c>
      <c r="K25" s="79"/>
      <c r="L25" s="136"/>
      <c r="M25" s="136"/>
      <c r="O25" s="89">
        <f>J25</f>
        <v>0</v>
      </c>
      <c r="P25" s="90" t="str">
        <f>IFERROR(M25/L25,"-")</f>
        <v>-</v>
      </c>
      <c r="Q25" s="89" t="str">
        <f t="shared" si="1"/>
        <v/>
      </c>
      <c r="S25" s="96">
        <f>SUM(Q16,Q21:Q25)</f>
        <v>0</v>
      </c>
      <c r="T25" s="79"/>
    </row>
    <row r="26" spans="3:20" ht="24">
      <c r="C26" s="97"/>
      <c r="D26" s="98"/>
      <c r="E26" s="98"/>
      <c r="F26" s="98"/>
      <c r="G26" s="98"/>
      <c r="H26" s="98"/>
      <c r="I26" s="98"/>
      <c r="J26" s="98"/>
      <c r="K26" s="79"/>
      <c r="L26" s="99"/>
      <c r="M26" s="99"/>
      <c r="P26" s="86"/>
      <c r="S26" s="77"/>
      <c r="T26" s="77" t="s">
        <v>83</v>
      </c>
    </row>
  </sheetData>
  <sheetProtection algorithmName="SHA-512" hashValue="xb5YKKynzz7trupvyozjj7PkrxfgVl2b7jjFiCrFVQsQuOkE25sOMvu+ewp2o55aRUtCgM5ekRQpLgF6rU2myw==" saltValue="YOuL4hkhub6HqwrRXS5TdA==" spinCount="100000" sheet="1" objects="1" scenarios="1"/>
  <mergeCells count="3">
    <mergeCell ref="C9:C10"/>
    <mergeCell ref="G4:H4"/>
    <mergeCell ref="C18:I18"/>
  </mergeCells>
  <phoneticPr fontId="1"/>
  <dataValidations count="1">
    <dataValidation type="list" allowBlank="1" showInputMessage="1" showErrorMessage="1" sqref="J18">
      <formula1>"✓"</formula1>
    </dataValidation>
  </dataValidations>
  <printOptions horizontalCentered="1"/>
  <pageMargins left="0.70866141732283472" right="0.70866141732283472" top="0.74803149606299213" bottom="0.74803149606299213" header="0.31496062992125984" footer="0.31496062992125984"/>
  <pageSetup paperSize="9" scale="54"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S19"/>
  <sheetViews>
    <sheetView showGridLines="0" view="pageBreakPreview" zoomScale="70" zoomScaleNormal="100" zoomScaleSheetLayoutView="70" workbookViewId="0">
      <selection activeCell="I6" sqref="I6"/>
    </sheetView>
  </sheetViews>
  <sheetFormatPr defaultRowHeight="18.75"/>
  <cols>
    <col min="2" max="2" width="1.75" customWidth="1"/>
    <col min="3" max="3" width="31.25" customWidth="1"/>
    <col min="4" max="10" width="12.625" customWidth="1"/>
    <col min="11" max="11" width="3.25" customWidth="1"/>
    <col min="12" max="12" width="8.75" customWidth="1"/>
    <col min="13" max="13" width="14.25" customWidth="1"/>
    <col min="15" max="15" width="14.25" customWidth="1"/>
    <col min="16" max="16" width="1.75" customWidth="1"/>
    <col min="18" max="18" width="11.5" customWidth="1"/>
    <col min="19" max="19" width="9.375" bestFit="1" customWidth="1"/>
    <col min="23" max="23" width="9.875" bestFit="1" customWidth="1"/>
  </cols>
  <sheetData>
    <row r="1" spans="3:19" ht="70.900000000000006" customHeight="1">
      <c r="C1" s="21" t="s">
        <v>158</v>
      </c>
    </row>
    <row r="2" spans="3:19" ht="12" customHeight="1">
      <c r="C2" s="4"/>
    </row>
    <row r="3" spans="3:19" ht="12" customHeight="1">
      <c r="C3" s="4"/>
    </row>
    <row r="4" spans="3:19" ht="39" customHeight="1">
      <c r="C4" s="152" t="str">
        <f>総表!D6&amp;"："&amp;総表!E6</f>
        <v>生徒氏名：</v>
      </c>
      <c r="D4" s="22"/>
      <c r="E4" s="23"/>
      <c r="F4" s="4"/>
      <c r="G4" s="193" t="s">
        <v>16</v>
      </c>
      <c r="H4" s="194"/>
      <c r="I4" s="156">
        <f>総表!M10</f>
        <v>1</v>
      </c>
      <c r="J4" s="157" t="s">
        <v>5</v>
      </c>
      <c r="K4" s="4"/>
      <c r="L4" s="4"/>
    </row>
    <row r="5" spans="3:19" ht="39" customHeight="1">
      <c r="C5" s="152" t="str">
        <f>総表!H6&amp;"："&amp;総表!I6</f>
        <v>家計急変者氏名：</v>
      </c>
      <c r="D5" s="153" t="s">
        <v>54</v>
      </c>
      <c r="E5" s="154">
        <f>総表!I7</f>
        <v>0</v>
      </c>
      <c r="F5" s="155" t="s">
        <v>147</v>
      </c>
      <c r="G5" s="154">
        <f>総表!E7</f>
        <v>0</v>
      </c>
      <c r="H5" s="4"/>
      <c r="I5" s="156">
        <f>DATEDIF(E5,I6,"Y")</f>
        <v>0</v>
      </c>
      <c r="J5" s="158" t="s">
        <v>7</v>
      </c>
      <c r="K5" s="195" t="s">
        <v>107</v>
      </c>
      <c r="L5" s="196"/>
      <c r="M5" s="196"/>
      <c r="N5" s="196"/>
      <c r="O5" s="196"/>
    </row>
    <row r="6" spans="3:19" ht="38.450000000000003" customHeight="1">
      <c r="E6" s="9"/>
      <c r="H6" s="28" t="s">
        <v>111</v>
      </c>
      <c r="I6" s="138"/>
      <c r="J6" s="197" t="e">
        <f>VLOOKUP(I6,R6:S8,2)</f>
        <v>#N/A</v>
      </c>
      <c r="K6" s="198"/>
      <c r="L6" s="198"/>
      <c r="M6" s="198"/>
      <c r="N6" s="198"/>
      <c r="O6" s="199"/>
      <c r="R6" s="9">
        <v>44562</v>
      </c>
      <c r="S6" t="s">
        <v>108</v>
      </c>
    </row>
    <row r="7" spans="3:19" ht="32.450000000000003" customHeight="1">
      <c r="E7" s="9"/>
      <c r="R7" s="9">
        <v>44927</v>
      </c>
      <c r="S7" t="s">
        <v>109</v>
      </c>
    </row>
    <row r="8" spans="3:19" ht="24">
      <c r="C8" s="27" t="s">
        <v>55</v>
      </c>
      <c r="J8" s="28" t="s">
        <v>57</v>
      </c>
      <c r="R8" s="9">
        <v>45292</v>
      </c>
      <c r="S8" t="s">
        <v>110</v>
      </c>
    </row>
    <row r="9" spans="3:19" ht="24">
      <c r="C9" s="191" t="s">
        <v>4</v>
      </c>
      <c r="D9" s="150">
        <f>総表!M7</f>
        <v>0</v>
      </c>
      <c r="E9" s="150" t="str">
        <f>IF(総表!M10&gt;=2,EDATE(D9,1),"")</f>
        <v/>
      </c>
      <c r="F9" s="150" t="str">
        <f>IF(総表!M10&gt;=3,EDATE(E9,1),"")</f>
        <v/>
      </c>
      <c r="G9" s="150" t="str">
        <f>IF(総表!M10&gt;=4,EDATE(F9,1),"")</f>
        <v/>
      </c>
      <c r="H9" s="150" t="str">
        <f>IF(総表!M10&gt;=5,EDATE(G9,1),"")</f>
        <v/>
      </c>
      <c r="I9" s="150" t="str">
        <f>IF(総表!M10=6,EDATE(H9,1),"")</f>
        <v/>
      </c>
      <c r="J9" s="119" t="s">
        <v>51</v>
      </c>
    </row>
    <row r="10" spans="3:19" ht="24">
      <c r="C10" s="192"/>
      <c r="D10" s="151">
        <f>D9</f>
        <v>0</v>
      </c>
      <c r="E10" s="151" t="str">
        <f t="shared" ref="E10:I10" si="0">E9</f>
        <v/>
      </c>
      <c r="F10" s="151" t="str">
        <f t="shared" si="0"/>
        <v/>
      </c>
      <c r="G10" s="151" t="str">
        <f t="shared" si="0"/>
        <v/>
      </c>
      <c r="H10" s="151" t="str">
        <f t="shared" si="0"/>
        <v/>
      </c>
      <c r="I10" s="151" t="str">
        <f t="shared" si="0"/>
        <v/>
      </c>
      <c r="J10" s="120" t="s">
        <v>52</v>
      </c>
    </row>
    <row r="11" spans="3:19" ht="50.45" customHeight="1">
      <c r="C11" s="139" t="s">
        <v>78</v>
      </c>
      <c r="D11" s="137"/>
      <c r="E11" s="137"/>
      <c r="F11" s="137"/>
      <c r="G11" s="137"/>
      <c r="H11" s="137"/>
      <c r="I11" s="137"/>
      <c r="J11" s="19">
        <f t="shared" ref="J11:J18" si="1">SUM(D11:I11)</f>
        <v>0</v>
      </c>
    </row>
    <row r="12" spans="3:19" ht="50.45" customHeight="1">
      <c r="C12" s="139" t="s">
        <v>79</v>
      </c>
      <c r="D12" s="137"/>
      <c r="E12" s="137"/>
      <c r="F12" s="137"/>
      <c r="G12" s="137"/>
      <c r="H12" s="137"/>
      <c r="I12" s="137"/>
      <c r="J12" s="19">
        <f t="shared" si="1"/>
        <v>0</v>
      </c>
    </row>
    <row r="13" spans="3:19" ht="50.45" customHeight="1">
      <c r="C13" s="139" t="s">
        <v>80</v>
      </c>
      <c r="D13" s="137"/>
      <c r="E13" s="137"/>
      <c r="F13" s="137"/>
      <c r="G13" s="137"/>
      <c r="H13" s="137"/>
      <c r="I13" s="137"/>
      <c r="J13" s="19">
        <f t="shared" si="1"/>
        <v>0</v>
      </c>
    </row>
    <row r="14" spans="3:19" ht="50.45" customHeight="1">
      <c r="C14" s="139" t="s">
        <v>81</v>
      </c>
      <c r="D14" s="137"/>
      <c r="E14" s="137"/>
      <c r="F14" s="137"/>
      <c r="G14" s="137"/>
      <c r="H14" s="137"/>
      <c r="I14" s="137"/>
      <c r="J14" s="19">
        <f t="shared" si="1"/>
        <v>0</v>
      </c>
    </row>
    <row r="15" spans="3:19" ht="50.45" customHeight="1">
      <c r="C15" s="139" t="s">
        <v>56</v>
      </c>
      <c r="D15" s="137"/>
      <c r="E15" s="137"/>
      <c r="F15" s="137"/>
      <c r="G15" s="137"/>
      <c r="H15" s="137"/>
      <c r="I15" s="137"/>
      <c r="J15" s="19">
        <f t="shared" si="1"/>
        <v>0</v>
      </c>
    </row>
    <row r="16" spans="3:19" ht="50.45" customHeight="1">
      <c r="C16" s="139" t="s">
        <v>143</v>
      </c>
      <c r="D16" s="137"/>
      <c r="E16" s="137"/>
      <c r="F16" s="137"/>
      <c r="G16" s="137"/>
      <c r="H16" s="137"/>
      <c r="I16" s="137"/>
      <c r="J16" s="19">
        <f t="shared" si="1"/>
        <v>0</v>
      </c>
    </row>
    <row r="17" spans="3:16" ht="50.45" customHeight="1" thickBot="1">
      <c r="C17" s="139" t="s">
        <v>144</v>
      </c>
      <c r="D17" s="137"/>
      <c r="E17" s="137"/>
      <c r="F17" s="137"/>
      <c r="G17" s="137"/>
      <c r="H17" s="137"/>
      <c r="I17" s="137"/>
      <c r="J17" s="19">
        <f t="shared" si="1"/>
        <v>0</v>
      </c>
      <c r="M17" s="24" t="s">
        <v>1</v>
      </c>
      <c r="O17" s="29" t="s">
        <v>53</v>
      </c>
    </row>
    <row r="18" spans="3:16" ht="50.45" customHeight="1" thickTop="1" thickBot="1">
      <c r="C18" s="139" t="s">
        <v>145</v>
      </c>
      <c r="D18" s="137"/>
      <c r="E18" s="137"/>
      <c r="F18" s="137"/>
      <c r="G18" s="137"/>
      <c r="H18" s="137"/>
      <c r="I18" s="137"/>
      <c r="J18" s="19">
        <f t="shared" si="1"/>
        <v>0</v>
      </c>
      <c r="M18" s="20">
        <f>SUM(J11:J18)</f>
        <v>0</v>
      </c>
      <c r="N18" s="25">
        <f>12/$I$4</f>
        <v>12</v>
      </c>
      <c r="O18" s="30">
        <f>ROUNDDOWN(M18*N18,0)</f>
        <v>0</v>
      </c>
      <c r="P18" s="3"/>
    </row>
    <row r="19" spans="3:16" ht="24">
      <c r="O19" s="26"/>
      <c r="P19" s="26" t="s">
        <v>83</v>
      </c>
    </row>
  </sheetData>
  <sheetProtection algorithmName="SHA-512" hashValue="ZMYcLmQweyuQDO5q0GY7SGLV03QT/lmucObQD3XlpwQ9aBj6+ww/8t+Pc80ATWFTO/P935ZSDjonF+b1YuLNwQ==" saltValue="PhjEpBkVoi7K683T6kNa9w==" spinCount="100000" sheet="1" objects="1" scenarios="1"/>
  <mergeCells count="4">
    <mergeCell ref="C9:C10"/>
    <mergeCell ref="G4:H4"/>
    <mergeCell ref="K5:O5"/>
    <mergeCell ref="J6:O6"/>
  </mergeCells>
  <phoneticPr fontId="1"/>
  <dataValidations count="1">
    <dataValidation type="list" allowBlank="1" showInputMessage="1" showErrorMessage="1" sqref="I6">
      <formula1>$R$6:$R$8</formula1>
    </dataValidation>
  </dataValidations>
  <printOptions horizontalCentered="1"/>
  <pageMargins left="0.70866141732283472" right="0.70866141732283472" top="0.74803149606299213" bottom="0.74803149606299213"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2"/>
  <sheetViews>
    <sheetView showGridLines="0" view="pageBreakPreview" zoomScale="70" zoomScaleNormal="100" zoomScaleSheetLayoutView="70" workbookViewId="0">
      <selection activeCell="D18" sqref="D18:F21"/>
    </sheetView>
  </sheetViews>
  <sheetFormatPr defaultRowHeight="18.75"/>
  <cols>
    <col min="2" max="2" width="1.75" customWidth="1"/>
    <col min="3" max="3" width="31.25" customWidth="1"/>
    <col min="4" max="10" width="12.625" customWidth="1"/>
    <col min="12" max="12" width="12.625" customWidth="1"/>
    <col min="14" max="14" width="12.625" customWidth="1"/>
    <col min="15" max="15" width="1.75" customWidth="1"/>
    <col min="17" max="17" width="11.5" customWidth="1"/>
    <col min="19" max="19" width="9.375" bestFit="1" customWidth="1"/>
    <col min="23" max="23" width="9.875" bestFit="1" customWidth="1"/>
  </cols>
  <sheetData>
    <row r="1" spans="3:15" ht="30">
      <c r="C1" s="21" t="s">
        <v>159</v>
      </c>
    </row>
    <row r="2" spans="3:15" ht="12" customHeight="1">
      <c r="C2" s="4"/>
    </row>
    <row r="3" spans="3:15" ht="12" customHeight="1">
      <c r="C3" s="4"/>
    </row>
    <row r="4" spans="3:15" ht="39" customHeight="1">
      <c r="C4" s="152" t="str">
        <f>総表!D6&amp;"："&amp;総表!E6</f>
        <v>生徒氏名：</v>
      </c>
      <c r="D4" s="22"/>
      <c r="E4" s="23"/>
      <c r="F4" s="4"/>
      <c r="G4" s="193" t="s">
        <v>16</v>
      </c>
      <c r="H4" s="194"/>
      <c r="I4" s="156">
        <f>総表!M10</f>
        <v>1</v>
      </c>
      <c r="J4" s="157" t="s">
        <v>5</v>
      </c>
      <c r="K4" s="4"/>
      <c r="L4" s="4"/>
      <c r="M4" s="4"/>
    </row>
    <row r="5" spans="3:15" ht="39" customHeight="1">
      <c r="C5" s="152" t="str">
        <f>総表!H6&amp;"："&amp;総表!I6</f>
        <v>家計急変者氏名：</v>
      </c>
      <c r="D5" s="153" t="s">
        <v>54</v>
      </c>
      <c r="E5" s="154">
        <f>総表!I7</f>
        <v>0</v>
      </c>
      <c r="F5" s="146" t="s">
        <v>147</v>
      </c>
      <c r="G5" s="154">
        <f>総表!E7</f>
        <v>0</v>
      </c>
      <c r="H5" s="4"/>
      <c r="I5" s="36"/>
      <c r="J5" s="36"/>
      <c r="K5" s="4"/>
      <c r="L5" s="4"/>
      <c r="M5" s="4"/>
    </row>
    <row r="6" spans="3:15" ht="12" customHeight="1">
      <c r="E6" s="9"/>
    </row>
    <row r="7" spans="3:15" ht="12" customHeight="1">
      <c r="E7" s="9"/>
    </row>
    <row r="8" spans="3:15" ht="24">
      <c r="C8" s="27" t="s">
        <v>84</v>
      </c>
      <c r="J8" s="28" t="s">
        <v>57</v>
      </c>
    </row>
    <row r="9" spans="3:15" ht="25.15" customHeight="1">
      <c r="C9" s="200" t="s">
        <v>4</v>
      </c>
      <c r="D9" s="150">
        <f>総表!M7</f>
        <v>0</v>
      </c>
      <c r="E9" s="150" t="str">
        <f>IF(総表!M10&gt;=2,EDATE(D9,1),"")</f>
        <v/>
      </c>
      <c r="F9" s="150" t="str">
        <f>IF(総表!M10&gt;=3,EDATE(E9,1),"")</f>
        <v/>
      </c>
      <c r="G9" s="150" t="str">
        <f>IF(総表!M10&gt;=4,EDATE(F9,1),"")</f>
        <v/>
      </c>
      <c r="H9" s="150" t="str">
        <f>IF(総表!M10&gt;=5,EDATE(G9,1),"")</f>
        <v/>
      </c>
      <c r="I9" s="150" t="str">
        <f>IF(総表!M10=6,EDATE(H9,1),"")</f>
        <v/>
      </c>
      <c r="J9" s="119" t="s">
        <v>51</v>
      </c>
    </row>
    <row r="10" spans="3:15" ht="25.15" customHeight="1">
      <c r="C10" s="192"/>
      <c r="D10" s="151">
        <f>D9</f>
        <v>0</v>
      </c>
      <c r="E10" s="151" t="str">
        <f t="shared" ref="E10:I10" si="0">E9</f>
        <v/>
      </c>
      <c r="F10" s="151" t="str">
        <f t="shared" si="0"/>
        <v/>
      </c>
      <c r="G10" s="151" t="str">
        <f t="shared" si="0"/>
        <v/>
      </c>
      <c r="H10" s="151" t="str">
        <f t="shared" si="0"/>
        <v/>
      </c>
      <c r="I10" s="151" t="str">
        <f t="shared" si="0"/>
        <v/>
      </c>
      <c r="J10" s="120" t="s">
        <v>52</v>
      </c>
      <c r="K10" s="6"/>
      <c r="L10" s="26"/>
    </row>
    <row r="11" spans="3:15" ht="24.75" thickBot="1">
      <c r="C11" s="121" t="s">
        <v>65</v>
      </c>
      <c r="D11" s="122"/>
      <c r="E11" s="122"/>
      <c r="F11" s="122"/>
      <c r="G11" s="122"/>
      <c r="H11" s="122"/>
      <c r="I11" s="122"/>
      <c r="J11" s="122"/>
      <c r="K11" s="5"/>
      <c r="L11" s="31" t="s">
        <v>53</v>
      </c>
      <c r="M11" s="5"/>
    </row>
    <row r="12" spans="3:15" ht="42.6" customHeight="1" thickBot="1">
      <c r="C12" s="80" t="s">
        <v>132</v>
      </c>
      <c r="D12" s="140"/>
      <c r="E12" s="140"/>
      <c r="F12" s="140"/>
      <c r="G12" s="140"/>
      <c r="H12" s="140"/>
      <c r="I12" s="140"/>
      <c r="J12" s="32">
        <f>SUM(D12:I12)</f>
        <v>0</v>
      </c>
      <c r="K12" s="18">
        <f>12/$I$4</f>
        <v>12</v>
      </c>
      <c r="L12" s="34">
        <f>ROUNDDOWN(J12*K12,0)</f>
        <v>0</v>
      </c>
      <c r="M12" s="18"/>
      <c r="N12" s="3"/>
      <c r="O12" s="3"/>
    </row>
    <row r="13" spans="3:15" ht="42.6" customHeight="1" thickBot="1">
      <c r="C13" s="80" t="s">
        <v>131</v>
      </c>
      <c r="D13" s="140"/>
      <c r="E13" s="140"/>
      <c r="F13" s="140"/>
      <c r="G13" s="141"/>
      <c r="H13" s="141"/>
      <c r="I13" s="141"/>
      <c r="J13" s="32">
        <f>SUM(D13:I13)</f>
        <v>0</v>
      </c>
      <c r="K13" s="18">
        <f>12/$I$4</f>
        <v>12</v>
      </c>
      <c r="L13" s="34">
        <f>ROUNDDOWN(J13*K13,0)</f>
        <v>0</v>
      </c>
      <c r="M13" s="2"/>
      <c r="N13" s="3"/>
      <c r="O13" s="3"/>
    </row>
    <row r="14" spans="3:15" ht="42.6" customHeight="1" thickBot="1">
      <c r="C14" s="80" t="s">
        <v>133</v>
      </c>
      <c r="D14" s="140"/>
      <c r="E14" s="140"/>
      <c r="F14" s="140"/>
      <c r="G14" s="141"/>
      <c r="H14" s="141"/>
      <c r="I14" s="141"/>
      <c r="J14" s="32">
        <f>SUM(D14:I14)</f>
        <v>0</v>
      </c>
      <c r="K14" s="18">
        <f>12/$I$4</f>
        <v>12</v>
      </c>
      <c r="L14" s="34">
        <f>ROUNDDOWN(J14*K14,0)</f>
        <v>0</v>
      </c>
      <c r="M14" s="18"/>
    </row>
    <row r="15" spans="3:15" ht="42.6" customHeight="1" thickBot="1">
      <c r="C15" s="80" t="s">
        <v>134</v>
      </c>
      <c r="D15" s="140"/>
      <c r="E15" s="140"/>
      <c r="F15" s="140"/>
      <c r="G15" s="140"/>
      <c r="H15" s="140"/>
      <c r="I15" s="140"/>
      <c r="J15" s="32">
        <f>SUM(D15:I15)</f>
        <v>0</v>
      </c>
      <c r="K15" s="18">
        <f>12/$I$4</f>
        <v>12</v>
      </c>
      <c r="L15" s="34">
        <f>ROUNDDOWN(J15*K15,0)</f>
        <v>0</v>
      </c>
      <c r="M15" s="2"/>
      <c r="N15" s="3"/>
      <c r="O15" s="3"/>
    </row>
    <row r="16" spans="3:15" ht="42.6" customHeight="1" thickBot="1">
      <c r="C16" s="80" t="s">
        <v>135</v>
      </c>
      <c r="D16" s="141"/>
      <c r="E16" s="141"/>
      <c r="F16" s="141"/>
      <c r="G16" s="141"/>
      <c r="H16" s="141"/>
      <c r="I16" s="141"/>
      <c r="J16" s="32">
        <f>SUM(D16:I16)</f>
        <v>0</v>
      </c>
      <c r="K16" s="18">
        <f>12/$I$4</f>
        <v>12</v>
      </c>
      <c r="L16" s="34">
        <f>ROUNDDOWN(J16*K16,0)</f>
        <v>0</v>
      </c>
      <c r="M16" s="18"/>
    </row>
    <row r="17" spans="3:15" ht="26.25" thickBot="1">
      <c r="C17" s="123" t="s">
        <v>61</v>
      </c>
      <c r="D17" s="33"/>
      <c r="E17" s="33"/>
      <c r="F17" s="33"/>
      <c r="G17" s="33"/>
      <c r="H17" s="33"/>
      <c r="I17" s="33"/>
      <c r="J17" s="33"/>
      <c r="K17" s="5"/>
      <c r="L17" s="31"/>
      <c r="M17" s="5"/>
    </row>
    <row r="18" spans="3:15" ht="42.6" customHeight="1" thickBot="1">
      <c r="C18" s="80" t="s">
        <v>136</v>
      </c>
      <c r="D18" s="140"/>
      <c r="E18" s="140"/>
      <c r="F18" s="140"/>
      <c r="G18" s="140"/>
      <c r="H18" s="140"/>
      <c r="I18" s="140"/>
      <c r="J18" s="32">
        <f>SUM(D18:I18)</f>
        <v>0</v>
      </c>
      <c r="K18" s="2"/>
      <c r="L18" s="34">
        <f>J18</f>
        <v>0</v>
      </c>
      <c r="M18" s="2"/>
      <c r="N18" s="3"/>
      <c r="O18" s="3"/>
    </row>
    <row r="19" spans="3:15" ht="42.6" customHeight="1" thickBot="1">
      <c r="C19" s="80" t="s">
        <v>137</v>
      </c>
      <c r="D19" s="140"/>
      <c r="E19" s="140"/>
      <c r="F19" s="140"/>
      <c r="G19" s="140"/>
      <c r="H19" s="140"/>
      <c r="I19" s="140"/>
      <c r="J19" s="32">
        <f>SUM(D19:I19)</f>
        <v>0</v>
      </c>
      <c r="K19" s="2"/>
      <c r="L19" s="34">
        <f>J19</f>
        <v>0</v>
      </c>
      <c r="M19" s="37"/>
      <c r="N19" s="38" t="s">
        <v>60</v>
      </c>
      <c r="O19" s="3"/>
    </row>
    <row r="20" spans="3:15" ht="42.6" customHeight="1" thickBot="1">
      <c r="C20" s="80" t="s">
        <v>138</v>
      </c>
      <c r="D20" s="141"/>
      <c r="E20" s="140"/>
      <c r="F20" s="140"/>
      <c r="G20" s="141"/>
      <c r="H20" s="141"/>
      <c r="I20" s="141"/>
      <c r="J20" s="32">
        <f>SUM(D20:I20)</f>
        <v>0</v>
      </c>
      <c r="K20" s="2"/>
      <c r="L20" s="34">
        <f>J20</f>
        <v>0</v>
      </c>
      <c r="M20" s="18"/>
      <c r="N20" s="31" t="s">
        <v>53</v>
      </c>
    </row>
    <row r="21" spans="3:15" ht="42.6" customHeight="1" thickTop="1" thickBot="1">
      <c r="C21" s="80" t="s">
        <v>139</v>
      </c>
      <c r="D21" s="140"/>
      <c r="E21" s="140"/>
      <c r="F21" s="140"/>
      <c r="G21" s="140"/>
      <c r="H21" s="140"/>
      <c r="I21" s="140"/>
      <c r="J21" s="32">
        <f>SUM(D21:I21)</f>
        <v>0</v>
      </c>
      <c r="K21" s="2"/>
      <c r="L21" s="34">
        <f>J21</f>
        <v>0</v>
      </c>
      <c r="M21" s="2"/>
      <c r="N21" s="35">
        <f>MAX(SUM(L12:L16,L18:L21),0)</f>
        <v>0</v>
      </c>
      <c r="O21" s="3"/>
    </row>
    <row r="22" spans="3:15" ht="24">
      <c r="O22" s="26" t="s">
        <v>83</v>
      </c>
    </row>
  </sheetData>
  <sheetProtection algorithmName="SHA-512" hashValue="eVYFsW39Y8x69pyDTItZ1Pt6lqB3nVaGVrmZiOSMI2Jyj/5xAEJx2so2D7RzWzwiYV5rw4J6ida41DeowYzRqw==" saltValue="9iA2krxNDkNcZllitvHwyA=="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7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0"/>
  <sheetViews>
    <sheetView showGridLines="0" view="pageBreakPreview" zoomScale="70" zoomScaleNormal="100" zoomScaleSheetLayoutView="70" workbookViewId="0">
      <selection activeCell="F17" sqref="F17:G17"/>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8" width="13.875" style="67" customWidth="1"/>
    <col min="9" max="9" width="11.25" style="67" customWidth="1"/>
    <col min="10"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 customHeight="1">
      <c r="C1" s="66" t="s">
        <v>160</v>
      </c>
    </row>
    <row r="2" spans="3:15" ht="30">
      <c r="C2" s="66" t="s">
        <v>150</v>
      </c>
    </row>
    <row r="3" spans="3:15" ht="72" customHeight="1">
      <c r="C3" s="201" t="s">
        <v>151</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v>
      </c>
      <c r="D6" s="69"/>
      <c r="E6" s="70"/>
      <c r="F6" s="68"/>
      <c r="G6" s="186" t="s">
        <v>16</v>
      </c>
      <c r="H6" s="187"/>
      <c r="I6" s="148">
        <f>総表!M10</f>
        <v>1</v>
      </c>
      <c r="J6" s="149" t="s">
        <v>5</v>
      </c>
      <c r="K6" s="68"/>
      <c r="L6" s="80" t="s">
        <v>68</v>
      </c>
      <c r="M6" s="208"/>
      <c r="N6" s="209"/>
    </row>
    <row r="7" spans="3:15" ht="11.45" customHeight="1">
      <c r="C7" s="72"/>
      <c r="D7" s="73"/>
      <c r="E7" s="74"/>
      <c r="F7" s="68"/>
      <c r="G7" s="71"/>
      <c r="H7" s="71"/>
      <c r="I7" s="75"/>
      <c r="J7" s="75"/>
      <c r="K7" s="68"/>
      <c r="L7" s="68"/>
      <c r="M7" s="68"/>
    </row>
    <row r="8" spans="3:15" ht="39" customHeight="1">
      <c r="C8" s="145" t="str">
        <f>総表!H6&amp;"："&amp;総表!I6</f>
        <v>家計急変者氏名：</v>
      </c>
      <c r="D8" s="146" t="s">
        <v>54</v>
      </c>
      <c r="E8" s="147">
        <f>総表!I7</f>
        <v>0</v>
      </c>
      <c r="F8" s="146" t="s">
        <v>147</v>
      </c>
      <c r="G8" s="147">
        <f>総表!E7</f>
        <v>0</v>
      </c>
      <c r="H8" s="81" t="s">
        <v>63</v>
      </c>
      <c r="I8" s="202"/>
      <c r="J8" s="202"/>
      <c r="K8" s="202"/>
      <c r="L8" s="202"/>
      <c r="M8" s="202"/>
      <c r="N8" s="203"/>
    </row>
    <row r="9" spans="3:15" ht="12" customHeight="1">
      <c r="E9" s="76"/>
    </row>
    <row r="10" spans="3:15" ht="12" customHeight="1">
      <c r="E10" s="76"/>
    </row>
    <row r="11" spans="3:15" ht="24">
      <c r="C11" s="68"/>
      <c r="I11" s="77"/>
      <c r="J11" s="77"/>
    </row>
    <row r="12" spans="3:15" ht="25.15" customHeight="1">
      <c r="C12" s="218" t="s">
        <v>4</v>
      </c>
      <c r="D12" s="214" t="s">
        <v>152</v>
      </c>
      <c r="E12" s="211"/>
      <c r="F12" s="210" t="s">
        <v>62</v>
      </c>
      <c r="G12" s="211"/>
      <c r="H12" s="214" t="s">
        <v>153</v>
      </c>
      <c r="I12" s="215"/>
      <c r="J12" s="82"/>
      <c r="K12" s="78"/>
      <c r="L12" s="78"/>
      <c r="M12" s="78"/>
      <c r="N12" s="78"/>
    </row>
    <row r="13" spans="3:15" ht="25.15" customHeight="1">
      <c r="C13" s="219"/>
      <c r="D13" s="212"/>
      <c r="E13" s="213"/>
      <c r="F13" s="212"/>
      <c r="G13" s="213"/>
      <c r="H13" s="216"/>
      <c r="I13" s="217"/>
      <c r="J13" s="82"/>
      <c r="K13" s="78"/>
      <c r="L13" s="78"/>
      <c r="M13" s="78"/>
      <c r="N13" s="78"/>
    </row>
    <row r="14" spans="3:15" ht="42.6" customHeight="1">
      <c r="C14" s="159">
        <f>総表!M7</f>
        <v>0</v>
      </c>
      <c r="D14" s="206"/>
      <c r="E14" s="207"/>
      <c r="F14" s="206"/>
      <c r="G14" s="207"/>
      <c r="H14" s="204">
        <f t="shared" ref="H14:H19" si="0">D14-F14</f>
        <v>0</v>
      </c>
      <c r="I14" s="205"/>
      <c r="J14" s="82"/>
      <c r="K14" s="78"/>
      <c r="L14" s="78"/>
      <c r="M14" s="78"/>
      <c r="N14" s="78"/>
      <c r="O14" s="79"/>
    </row>
    <row r="15" spans="3:15" ht="42.6" customHeight="1">
      <c r="C15" s="159" t="str">
        <f>IF(総表!$M$10&gt;=2,EDATE(C14,1),"")</f>
        <v/>
      </c>
      <c r="D15" s="206"/>
      <c r="E15" s="207"/>
      <c r="F15" s="206"/>
      <c r="G15" s="207"/>
      <c r="H15" s="204">
        <f t="shared" si="0"/>
        <v>0</v>
      </c>
      <c r="I15" s="205"/>
      <c r="J15" s="82"/>
      <c r="K15" s="78"/>
      <c r="L15" s="78"/>
      <c r="M15" s="78"/>
      <c r="N15" s="78"/>
      <c r="O15" s="79"/>
    </row>
    <row r="16" spans="3:15" ht="42.6" customHeight="1">
      <c r="C16" s="159" t="str">
        <f>IF(総表!$M$10&gt;=3,EDATE(C15,1),"")</f>
        <v/>
      </c>
      <c r="D16" s="206"/>
      <c r="E16" s="207"/>
      <c r="F16" s="206"/>
      <c r="G16" s="207"/>
      <c r="H16" s="204">
        <f t="shared" si="0"/>
        <v>0</v>
      </c>
      <c r="I16" s="205"/>
      <c r="J16" s="82"/>
      <c r="K16" s="78"/>
      <c r="L16" s="78"/>
      <c r="M16" s="78"/>
      <c r="N16" s="78"/>
    </row>
    <row r="17" spans="3:15" ht="42.6" customHeight="1">
      <c r="C17" s="159" t="str">
        <f>IF(総表!$M$10&gt;=4,EDATE(C16,1),"")</f>
        <v/>
      </c>
      <c r="D17" s="206"/>
      <c r="E17" s="207"/>
      <c r="F17" s="206"/>
      <c r="G17" s="207"/>
      <c r="H17" s="204">
        <f t="shared" si="0"/>
        <v>0</v>
      </c>
      <c r="I17" s="205"/>
      <c r="J17" s="82"/>
      <c r="K17" s="78"/>
      <c r="L17" s="78"/>
      <c r="M17" s="78"/>
      <c r="N17" s="78"/>
      <c r="O17" s="79"/>
    </row>
    <row r="18" spans="3:15" ht="42.6" customHeight="1">
      <c r="C18" s="159" t="str">
        <f>IF(総表!$M$10&gt;=5,EDATE(C17,1),"")</f>
        <v/>
      </c>
      <c r="D18" s="206"/>
      <c r="E18" s="207"/>
      <c r="F18" s="206"/>
      <c r="G18" s="207"/>
      <c r="H18" s="204">
        <f t="shared" si="0"/>
        <v>0</v>
      </c>
      <c r="I18" s="205"/>
      <c r="J18" s="82"/>
      <c r="K18" s="78"/>
      <c r="L18" s="78"/>
      <c r="M18" s="78"/>
      <c r="N18" s="78"/>
    </row>
    <row r="19" spans="3:15" ht="42.6" customHeight="1">
      <c r="C19" s="159" t="str">
        <f>IF(総表!$M$10=6,EDATE(C18,1),"")</f>
        <v/>
      </c>
      <c r="D19" s="206"/>
      <c r="E19" s="207"/>
      <c r="F19" s="206"/>
      <c r="G19" s="207"/>
      <c r="H19" s="204">
        <f t="shared" si="0"/>
        <v>0</v>
      </c>
      <c r="I19" s="205"/>
      <c r="J19" s="82"/>
      <c r="K19" s="78"/>
      <c r="L19" s="78"/>
      <c r="M19" s="78"/>
      <c r="N19" s="78"/>
      <c r="O19" s="79"/>
    </row>
    <row r="20" spans="3:15" ht="5.45" customHeight="1"/>
  </sheetData>
  <sheetProtection algorithmName="SHA-512" hashValue="qwezzIokjfHCYGI4eFyhOI5mgDpbr/kD70/x/DbfyS+dpNLEvzH5sMLID7zO54Gv7Tr8dma/QfI9V4qpbsCCeA==" saltValue="Pt1w2kab9dUIRluQOJEb6w==" spinCount="100000" sheet="1" objects="1" scenarios="1"/>
  <mergeCells count="26">
    <mergeCell ref="D17:E17"/>
    <mergeCell ref="D18:E18"/>
    <mergeCell ref="D19:E19"/>
    <mergeCell ref="G6:H6"/>
    <mergeCell ref="C12:C13"/>
    <mergeCell ref="D12:E13"/>
    <mergeCell ref="H17:I17"/>
    <mergeCell ref="H18:I18"/>
    <mergeCell ref="H19:I19"/>
    <mergeCell ref="F17:G17"/>
    <mergeCell ref="F18:G18"/>
    <mergeCell ref="F19:G19"/>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s>
  <phoneticPr fontId="1"/>
  <dataValidations count="1">
    <dataValidation type="list" allowBlank="1" showInputMessage="1" showErrorMessage="1" sqref="M6:N6">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1"/>
  <sheetViews>
    <sheetView showGridLines="0" view="pageBreakPreview" zoomScale="70" zoomScaleNormal="100" zoomScaleSheetLayoutView="70" workbookViewId="0">
      <selection activeCell="J17" sqref="J17"/>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599999999999994" customHeight="1">
      <c r="C1" s="66" t="s">
        <v>161</v>
      </c>
    </row>
    <row r="2" spans="3:15" ht="30">
      <c r="C2" s="66" t="s">
        <v>146</v>
      </c>
    </row>
    <row r="3" spans="3:15" ht="56.45" customHeight="1">
      <c r="C3" s="201" t="s">
        <v>140</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v>
      </c>
      <c r="D6" s="69"/>
      <c r="E6" s="70"/>
      <c r="F6" s="68"/>
      <c r="G6" s="186" t="s">
        <v>16</v>
      </c>
      <c r="H6" s="187"/>
      <c r="I6" s="148">
        <f>総表!M10</f>
        <v>1</v>
      </c>
      <c r="J6" s="149" t="s">
        <v>5</v>
      </c>
      <c r="K6" s="68"/>
      <c r="L6" s="68"/>
      <c r="M6" s="68"/>
    </row>
    <row r="7" spans="3:15" ht="11.45" customHeight="1">
      <c r="C7" s="72"/>
      <c r="D7" s="73"/>
      <c r="E7" s="74"/>
      <c r="F7" s="68"/>
      <c r="G7" s="71"/>
      <c r="H7" s="71"/>
      <c r="I7" s="75"/>
      <c r="J7" s="75"/>
      <c r="K7" s="68"/>
      <c r="L7" s="68"/>
      <c r="M7" s="68"/>
    </row>
    <row r="8" spans="3:15" ht="39" customHeight="1">
      <c r="C8" s="145" t="str">
        <f>総表!H6&amp;"："&amp;総表!I6</f>
        <v>家計急変者氏名：</v>
      </c>
      <c r="D8" s="146" t="s">
        <v>54</v>
      </c>
      <c r="E8" s="147">
        <f>総表!I7</f>
        <v>0</v>
      </c>
      <c r="F8" s="146" t="s">
        <v>147</v>
      </c>
      <c r="G8" s="147">
        <f>総表!E7</f>
        <v>0</v>
      </c>
      <c r="H8" s="69"/>
      <c r="I8" s="68"/>
      <c r="J8" s="68"/>
      <c r="K8" s="68"/>
      <c r="L8" s="68"/>
      <c r="M8" s="68"/>
      <c r="N8" s="68"/>
    </row>
    <row r="9" spans="3:15" ht="10.15" customHeight="1">
      <c r="E9" s="76"/>
    </row>
    <row r="10" spans="3:15" ht="10.15" customHeight="1">
      <c r="E10" s="76"/>
    </row>
    <row r="11" spans="3:15" ht="10.15" customHeight="1">
      <c r="C11" s="68"/>
      <c r="I11" s="77"/>
      <c r="J11" s="77"/>
    </row>
    <row r="12" spans="3:15" ht="25.15" customHeight="1">
      <c r="C12" s="220" t="s">
        <v>66</v>
      </c>
      <c r="D12" s="214" t="s">
        <v>148</v>
      </c>
      <c r="E12" s="211"/>
      <c r="F12" s="214" t="s">
        <v>162</v>
      </c>
      <c r="G12" s="211"/>
      <c r="H12" s="221" t="s">
        <v>149</v>
      </c>
      <c r="I12" s="222"/>
      <c r="J12" s="225" t="s">
        <v>67</v>
      </c>
      <c r="K12" s="78"/>
      <c r="L12" s="78"/>
      <c r="M12" s="78"/>
      <c r="N12" s="78"/>
    </row>
    <row r="13" spans="3:15" ht="25.15" customHeight="1">
      <c r="C13" s="219"/>
      <c r="D13" s="212"/>
      <c r="E13" s="213"/>
      <c r="F13" s="212"/>
      <c r="G13" s="213"/>
      <c r="H13" s="223"/>
      <c r="I13" s="224"/>
      <c r="J13" s="225"/>
      <c r="K13" s="78"/>
      <c r="L13" s="78"/>
      <c r="M13" s="78"/>
      <c r="N13" s="78"/>
    </row>
    <row r="14" spans="3:15" ht="42.6" customHeight="1">
      <c r="C14" s="142"/>
      <c r="D14" s="206"/>
      <c r="E14" s="207"/>
      <c r="F14" s="206"/>
      <c r="G14" s="207"/>
      <c r="H14" s="204">
        <f>D14-F14</f>
        <v>0</v>
      </c>
      <c r="I14" s="205"/>
      <c r="J14" s="143"/>
      <c r="K14" s="78"/>
      <c r="L14" s="78"/>
      <c r="M14" s="78"/>
      <c r="N14" s="78"/>
      <c r="O14" s="79"/>
    </row>
    <row r="15" spans="3:15" ht="42.6" customHeight="1">
      <c r="C15" s="142"/>
      <c r="D15" s="206"/>
      <c r="E15" s="207"/>
      <c r="F15" s="206"/>
      <c r="G15" s="207"/>
      <c r="H15" s="204">
        <f t="shared" ref="H15:H21" si="0">D15-F15</f>
        <v>0</v>
      </c>
      <c r="I15" s="205"/>
      <c r="J15" s="143"/>
      <c r="K15" s="78"/>
      <c r="L15" s="78"/>
      <c r="M15" s="78"/>
      <c r="N15" s="78"/>
      <c r="O15" s="79"/>
    </row>
    <row r="16" spans="3:15" ht="42.6" customHeight="1">
      <c r="C16" s="142"/>
      <c r="D16" s="206"/>
      <c r="E16" s="207"/>
      <c r="F16" s="206"/>
      <c r="G16" s="207"/>
      <c r="H16" s="204">
        <f t="shared" si="0"/>
        <v>0</v>
      </c>
      <c r="I16" s="205"/>
      <c r="J16" s="143"/>
      <c r="K16" s="78"/>
      <c r="L16" s="78"/>
      <c r="M16" s="78"/>
      <c r="N16" s="78"/>
    </row>
    <row r="17" spans="3:15" ht="42.6" customHeight="1">
      <c r="C17" s="142"/>
      <c r="D17" s="206"/>
      <c r="E17" s="207"/>
      <c r="F17" s="206"/>
      <c r="G17" s="207"/>
      <c r="H17" s="204">
        <f t="shared" si="0"/>
        <v>0</v>
      </c>
      <c r="I17" s="205"/>
      <c r="J17" s="143"/>
      <c r="K17" s="78"/>
      <c r="L17" s="78"/>
      <c r="M17" s="78"/>
      <c r="N17" s="78"/>
      <c r="O17" s="79"/>
    </row>
    <row r="18" spans="3:15" ht="42.6" customHeight="1">
      <c r="C18" s="142"/>
      <c r="D18" s="206"/>
      <c r="E18" s="207"/>
      <c r="F18" s="206"/>
      <c r="G18" s="207"/>
      <c r="H18" s="204">
        <f t="shared" si="0"/>
        <v>0</v>
      </c>
      <c r="I18" s="205"/>
      <c r="J18" s="143"/>
      <c r="K18" s="78"/>
      <c r="L18" s="78"/>
      <c r="M18" s="78"/>
      <c r="N18" s="78"/>
      <c r="O18" s="79"/>
    </row>
    <row r="19" spans="3:15" ht="42.6" customHeight="1">
      <c r="C19" s="142"/>
      <c r="D19" s="206"/>
      <c r="E19" s="207"/>
      <c r="F19" s="206"/>
      <c r="G19" s="207"/>
      <c r="H19" s="204">
        <f t="shared" si="0"/>
        <v>0</v>
      </c>
      <c r="I19" s="205"/>
      <c r="J19" s="143"/>
      <c r="K19" s="78"/>
      <c r="L19" s="78"/>
      <c r="M19" s="78"/>
      <c r="N19" s="78"/>
      <c r="O19" s="79"/>
    </row>
    <row r="20" spans="3:15" ht="42.6" customHeight="1">
      <c r="C20" s="142"/>
      <c r="D20" s="206"/>
      <c r="E20" s="207"/>
      <c r="F20" s="206"/>
      <c r="G20" s="207"/>
      <c r="H20" s="204">
        <f t="shared" si="0"/>
        <v>0</v>
      </c>
      <c r="I20" s="205"/>
      <c r="J20" s="143"/>
      <c r="K20" s="78"/>
      <c r="L20" s="78"/>
      <c r="M20" s="78"/>
      <c r="N20" s="78"/>
    </row>
    <row r="21" spans="3:15" ht="42.6" customHeight="1">
      <c r="C21" s="142"/>
      <c r="D21" s="206"/>
      <c r="E21" s="207"/>
      <c r="F21" s="206"/>
      <c r="G21" s="207"/>
      <c r="H21" s="204">
        <f t="shared" si="0"/>
        <v>0</v>
      </c>
      <c r="I21" s="205"/>
      <c r="J21" s="143"/>
      <c r="K21" s="78"/>
      <c r="L21" s="78"/>
      <c r="M21" s="78"/>
      <c r="N21" s="78"/>
      <c r="O21" s="79"/>
    </row>
  </sheetData>
  <sheetProtection algorithmName="SHA-512" hashValue="DpqMhUvNQaJ7B0sEIPPuPurHayrjA+ESbtbWG5fldo6KzYukKsW5M3whjDYxNIKQy4pYO8h37Le3cO53gtaDKQ==" saltValue="2Cq9t2ctUpwf9OCgTLbHHw==" spinCount="100000" sheet="1" objects="1" scenarios="1"/>
  <mergeCells count="31">
    <mergeCell ref="C3:N3"/>
    <mergeCell ref="G6:H6"/>
    <mergeCell ref="C12:C13"/>
    <mergeCell ref="D12:E13"/>
    <mergeCell ref="F12:G13"/>
    <mergeCell ref="H12:I13"/>
    <mergeCell ref="J12:J13"/>
    <mergeCell ref="D14:E14"/>
    <mergeCell ref="F14:G14"/>
    <mergeCell ref="H14:I14"/>
    <mergeCell ref="D15:E15"/>
    <mergeCell ref="F15:G15"/>
    <mergeCell ref="H15:I15"/>
    <mergeCell ref="D16:E16"/>
    <mergeCell ref="F16:G16"/>
    <mergeCell ref="H16:I16"/>
    <mergeCell ref="D19:E19"/>
    <mergeCell ref="F19:G19"/>
    <mergeCell ref="H19:I19"/>
    <mergeCell ref="D17:E17"/>
    <mergeCell ref="F17:G17"/>
    <mergeCell ref="H17:I17"/>
    <mergeCell ref="D18:E18"/>
    <mergeCell ref="F18:G18"/>
    <mergeCell ref="H18:I18"/>
    <mergeCell ref="D20:E20"/>
    <mergeCell ref="F20:G20"/>
    <mergeCell ref="H20:I20"/>
    <mergeCell ref="D21:E21"/>
    <mergeCell ref="F21:G21"/>
    <mergeCell ref="H21:I21"/>
  </mergeCells>
  <phoneticPr fontId="1"/>
  <printOptions horizontalCentered="1"/>
  <pageMargins left="0.70866141732283472" right="0.70866141732283472" top="0.74803149606299213" bottom="0.74803149606299213" header="0.31496062992125984" footer="0.31496062992125984"/>
  <pageSetup paperSize="9" scale="71"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H60"/>
  <sheetViews>
    <sheetView view="pageBreakPreview" zoomScale="115" zoomScaleNormal="85" zoomScaleSheetLayoutView="115" workbookViewId="0">
      <selection activeCell="G24" sqref="G24"/>
    </sheetView>
  </sheetViews>
  <sheetFormatPr defaultRowHeight="18.75" outlineLevelCol="1"/>
  <cols>
    <col min="1" max="1" width="10.125" customWidth="1"/>
    <col min="2" max="2" width="3.75" customWidth="1"/>
    <col min="3" max="3" width="10.125" customWidth="1"/>
    <col min="4" max="5" width="8.75" customWidth="1"/>
    <col min="6" max="7" width="11.125" customWidth="1"/>
    <col min="8" max="8" width="2.75" customWidth="1"/>
    <col min="9" max="9" width="38.75" hidden="1" customWidth="1" outlineLevel="1"/>
    <col min="10" max="12" width="14.375" hidden="1" customWidth="1" outlineLevel="1"/>
    <col min="13" max="13" width="0" hidden="1" customWidth="1" outlineLevel="1"/>
    <col min="14" max="14" width="10.25" customWidth="1" collapsed="1"/>
    <col min="15" max="15" width="3.75" style="2" customWidth="1"/>
    <col min="16" max="16" width="10.25" customWidth="1"/>
    <col min="18" max="20" width="10.75" customWidth="1"/>
    <col min="22" max="24" width="10.75" customWidth="1"/>
    <col min="26" max="28" width="10.75" customWidth="1"/>
    <col min="29" max="29" width="18.25" customWidth="1"/>
    <col min="30" max="31" width="16.75" customWidth="1"/>
    <col min="32" max="33" width="9.75" customWidth="1"/>
  </cols>
  <sheetData>
    <row r="1" spans="1:34">
      <c r="I1" s="59" t="s">
        <v>112</v>
      </c>
      <c r="J1" s="59" t="s">
        <v>112</v>
      </c>
      <c r="K1" s="59" t="s">
        <v>112</v>
      </c>
      <c r="L1" s="59" t="s">
        <v>112</v>
      </c>
      <c r="M1" s="59" t="s">
        <v>112</v>
      </c>
    </row>
    <row r="3" spans="1:34">
      <c r="A3" s="7" t="s">
        <v>115</v>
      </c>
      <c r="B3" s="7"/>
      <c r="C3" s="7"/>
      <c r="D3" s="2"/>
      <c r="E3" s="2"/>
      <c r="F3" s="7"/>
      <c r="G3" s="7"/>
      <c r="J3" t="s">
        <v>85</v>
      </c>
      <c r="K3" t="s">
        <v>86</v>
      </c>
      <c r="N3" s="7" t="s">
        <v>8</v>
      </c>
      <c r="O3" s="16"/>
      <c r="P3" s="7"/>
      <c r="R3" s="7"/>
      <c r="S3" s="7"/>
      <c r="V3" s="7"/>
      <c r="W3" s="7"/>
      <c r="Z3" s="7"/>
      <c r="AA3" s="7"/>
      <c r="AD3" s="7" t="s">
        <v>13</v>
      </c>
      <c r="AF3" s="7"/>
      <c r="AG3" s="7"/>
    </row>
    <row r="4" spans="1:34">
      <c r="A4" s="226" t="s">
        <v>90</v>
      </c>
      <c r="B4" s="226"/>
      <c r="C4" s="226"/>
      <c r="D4" s="47" t="s">
        <v>9</v>
      </c>
      <c r="E4" s="47" t="s">
        <v>10</v>
      </c>
      <c r="F4" s="42" t="s">
        <v>97</v>
      </c>
      <c r="G4" s="42" t="s">
        <v>95</v>
      </c>
      <c r="I4" s="49" t="s">
        <v>19</v>
      </c>
      <c r="J4" s="49" t="s">
        <v>18</v>
      </c>
      <c r="K4" s="49" t="s">
        <v>18</v>
      </c>
      <c r="N4" s="7" t="s">
        <v>126</v>
      </c>
      <c r="O4" s="16"/>
      <c r="P4" s="7"/>
      <c r="R4" s="7"/>
      <c r="S4" s="7"/>
      <c r="U4" t="s">
        <v>124</v>
      </c>
      <c r="V4" s="7"/>
      <c r="W4" s="7"/>
      <c r="Y4" t="s">
        <v>125</v>
      </c>
      <c r="Z4" s="7"/>
      <c r="AA4" s="7"/>
      <c r="AD4" s="54" t="s">
        <v>14</v>
      </c>
      <c r="AE4" s="54" t="s">
        <v>15</v>
      </c>
      <c r="AF4" s="52" t="s">
        <v>76</v>
      </c>
      <c r="AG4" s="53" t="s">
        <v>11</v>
      </c>
    </row>
    <row r="5" spans="1:34">
      <c r="A5" s="48">
        <v>0</v>
      </c>
      <c r="B5" s="17" t="s">
        <v>6</v>
      </c>
      <c r="C5" s="48">
        <f>A6-1</f>
        <v>550999</v>
      </c>
      <c r="D5" s="8">
        <v>1</v>
      </c>
      <c r="E5" s="8">
        <v>0</v>
      </c>
      <c r="F5" s="48">
        <v>0</v>
      </c>
      <c r="G5" s="17" t="str">
        <f>IF($A$18&gt;=A5,IF($A$18&lt;A6,"✓","-"),"-")</f>
        <v>✓</v>
      </c>
      <c r="I5" s="1" t="s">
        <v>27</v>
      </c>
      <c r="J5" s="40">
        <f>IF(L5="✓",0,"-")</f>
        <v>0</v>
      </c>
      <c r="K5" s="40">
        <f>IFERROR(ROUNDDOWN(J5,0),"-")</f>
        <v>0</v>
      </c>
      <c r="L5" t="str">
        <f>IF($A$18&gt;=A5,IF($A$18&lt;A6,"✓",""),"")</f>
        <v>✓</v>
      </c>
      <c r="M5" t="b">
        <f>K5=J5</f>
        <v>1</v>
      </c>
      <c r="N5" s="227" t="s">
        <v>100</v>
      </c>
      <c r="O5" s="228"/>
      <c r="P5" s="229"/>
      <c r="Q5" s="47" t="s">
        <v>10</v>
      </c>
      <c r="R5" s="42" t="s">
        <v>101</v>
      </c>
      <c r="S5" s="42" t="s">
        <v>30</v>
      </c>
      <c r="T5" s="55"/>
      <c r="U5" s="47" t="s">
        <v>10</v>
      </c>
      <c r="V5" s="42" t="s">
        <v>101</v>
      </c>
      <c r="W5" s="42" t="s">
        <v>30</v>
      </c>
      <c r="X5" s="55"/>
      <c r="Y5" s="47" t="s">
        <v>10</v>
      </c>
      <c r="Z5" s="42" t="s">
        <v>101</v>
      </c>
      <c r="AA5" s="42" t="s">
        <v>30</v>
      </c>
      <c r="AD5" s="15">
        <f>IF(K18&lt;100001,K18,100000)</f>
        <v>0</v>
      </c>
      <c r="AE5" s="15">
        <f>IF(S23&lt;100001,S23,100000)</f>
        <v>0</v>
      </c>
      <c r="AF5" s="50">
        <v>-100000</v>
      </c>
      <c r="AG5" s="48">
        <f>MAX(IF(OR(AD5=0,AE5=0),0,AD5+AE5+AF5),0)</f>
        <v>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75</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71</v>
      </c>
      <c r="AE8" s="52" t="s">
        <v>73</v>
      </c>
      <c r="AF8" s="51" t="s">
        <v>72</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116</v>
      </c>
    </row>
    <row r="11" spans="1:34">
      <c r="A11" s="48">
        <v>1628000</v>
      </c>
      <c r="B11" s="17" t="s">
        <v>17</v>
      </c>
      <c r="C11" s="48">
        <f t="shared" si="3"/>
        <v>1799999</v>
      </c>
      <c r="D11" s="8">
        <v>4</v>
      </c>
      <c r="E11" s="8">
        <v>2.4</v>
      </c>
      <c r="F11" s="48">
        <v>100000</v>
      </c>
      <c r="G11" s="17" t="str">
        <f t="shared" si="0"/>
        <v>-</v>
      </c>
      <c r="I11" s="1" t="s">
        <v>87</v>
      </c>
      <c r="J11" s="40" t="str">
        <f>IF(L11="✓",ROUNDDOWN($A$18/4,-3)*2.4+100000,"-")</f>
        <v>-</v>
      </c>
      <c r="K11" s="40" t="str">
        <f t="shared" si="1"/>
        <v>-</v>
      </c>
      <c r="L11" t="str">
        <f t="shared" si="10"/>
        <v/>
      </c>
      <c r="M11" t="b">
        <f t="shared" si="2"/>
        <v>1</v>
      </c>
      <c r="N11" s="7"/>
      <c r="O11" s="16"/>
      <c r="P11" s="7"/>
      <c r="R11" s="7"/>
      <c r="S11" s="7"/>
      <c r="V11" s="7"/>
      <c r="W11" s="7"/>
      <c r="Z11" s="7"/>
      <c r="AA11" s="7"/>
      <c r="AF11" s="41" t="s">
        <v>113</v>
      </c>
      <c r="AG11" s="15">
        <f>SUM(AG5,AG9)</f>
        <v>0</v>
      </c>
    </row>
    <row r="12" spans="1:34">
      <c r="A12" s="48">
        <v>1800000</v>
      </c>
      <c r="B12" s="17" t="s">
        <v>17</v>
      </c>
      <c r="C12" s="48">
        <f t="shared" si="3"/>
        <v>3599999</v>
      </c>
      <c r="D12" s="8">
        <v>4</v>
      </c>
      <c r="E12" s="8">
        <v>2.8</v>
      </c>
      <c r="F12" s="48">
        <v>-80000</v>
      </c>
      <c r="G12" s="17" t="str">
        <f t="shared" si="0"/>
        <v>-</v>
      </c>
      <c r="I12" s="1" t="s">
        <v>88</v>
      </c>
      <c r="J12" s="40" t="str">
        <f>IF(L12="✓",ROUNDDOWN($A$18/4,-3)*2.8-80000,"-")</f>
        <v>-</v>
      </c>
      <c r="K12" s="40" t="str">
        <f t="shared" si="1"/>
        <v>-</v>
      </c>
      <c r="L12" t="str">
        <f t="shared" si="10"/>
        <v/>
      </c>
      <c r="M12" t="b">
        <f t="shared" si="2"/>
        <v>1</v>
      </c>
      <c r="N12" s="7" t="s">
        <v>127</v>
      </c>
      <c r="O12" s="16"/>
      <c r="P12" s="7"/>
      <c r="R12" s="7"/>
      <c r="S12" s="7"/>
      <c r="U12" t="s">
        <v>123</v>
      </c>
      <c r="V12" s="7"/>
      <c r="W12" s="7"/>
      <c r="Y12" t="s">
        <v>125</v>
      </c>
      <c r="Z12" s="7"/>
      <c r="AA12" s="7"/>
    </row>
    <row r="13" spans="1:34">
      <c r="A13" s="48">
        <v>3600000</v>
      </c>
      <c r="B13" s="17" t="s">
        <v>17</v>
      </c>
      <c r="C13" s="48">
        <f t="shared" si="3"/>
        <v>6599999</v>
      </c>
      <c r="D13" s="8">
        <v>4</v>
      </c>
      <c r="E13" s="8">
        <v>3.2</v>
      </c>
      <c r="F13" s="48">
        <v>-440000</v>
      </c>
      <c r="G13" s="17" t="str">
        <f t="shared" si="0"/>
        <v>-</v>
      </c>
      <c r="I13" s="1" t="s">
        <v>89</v>
      </c>
      <c r="J13" s="40" t="str">
        <f>IF(L13="✓",ROUNDDOWN($A$18/4,-3)*3.2-440000,"-")</f>
        <v>-</v>
      </c>
      <c r="K13" s="40" t="str">
        <f t="shared" si="1"/>
        <v>-</v>
      </c>
      <c r="L13" t="str">
        <f>IF($A$18&gt;=A13,IF($A$18&lt;A14,"✓",""),"")</f>
        <v/>
      </c>
      <c r="M13" t="b">
        <f t="shared" si="2"/>
        <v>1</v>
      </c>
      <c r="N13" s="227" t="s">
        <v>100</v>
      </c>
      <c r="O13" s="228"/>
      <c r="P13" s="229"/>
      <c r="Q13" s="47" t="s">
        <v>10</v>
      </c>
      <c r="R13" s="42" t="s">
        <v>101</v>
      </c>
      <c r="S13" s="42" t="s">
        <v>30</v>
      </c>
      <c r="T13" s="55"/>
      <c r="U13" s="47" t="s">
        <v>10</v>
      </c>
      <c r="V13" s="42" t="s">
        <v>101</v>
      </c>
      <c r="W13" s="42" t="s">
        <v>30</v>
      </c>
      <c r="X13" s="55"/>
      <c r="Y13" s="47" t="s">
        <v>10</v>
      </c>
      <c r="Z13" s="42" t="s">
        <v>101</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102</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91</v>
      </c>
      <c r="AE15" s="14">
        <f>G18</f>
        <v>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105</v>
      </c>
      <c r="AE16" s="14">
        <f>-AG9</f>
        <v>0</v>
      </c>
      <c r="AF16" t="s">
        <v>103</v>
      </c>
    </row>
    <row r="17" spans="1:33">
      <c r="A17" s="47" t="s">
        <v>98</v>
      </c>
      <c r="B17" s="2"/>
      <c r="C17" s="2"/>
      <c r="D17" s="47" t="s">
        <v>93</v>
      </c>
      <c r="E17" s="47" t="s">
        <v>94</v>
      </c>
      <c r="F17" s="47" t="s">
        <v>97</v>
      </c>
      <c r="G17" s="47" t="s">
        <v>99</v>
      </c>
      <c r="J17" s="39" t="s">
        <v>74</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104</v>
      </c>
      <c r="AE17" s="46">
        <f>総表!D28</f>
        <v>0</v>
      </c>
      <c r="AG17" s="14"/>
    </row>
    <row r="18" spans="1:33">
      <c r="A18" s="15">
        <f>総表!D18</f>
        <v>0</v>
      </c>
      <c r="D18" s="1">
        <f>VLOOKUP($A$18,$A$5:$K$15,4)</f>
        <v>1</v>
      </c>
      <c r="E18" s="1">
        <f>VLOOKUP($A$18,$A$5:$K$15,5)</f>
        <v>0</v>
      </c>
      <c r="F18" s="15">
        <f>VLOOKUP($A$18,$A$5:$K$15,6)</f>
        <v>0</v>
      </c>
      <c r="G18" s="15">
        <f>ROUNDDOWN((IF(D18=4,ROUNDDOWN(A18/4,-3),A18)*E18)+F18,0)</f>
        <v>0</v>
      </c>
      <c r="J18" s="14"/>
      <c r="K18" s="15">
        <f>VLOOKUP($A$18,$A$5:$K$15,11)</f>
        <v>0</v>
      </c>
      <c r="L18" s="15">
        <f>A18-K18</f>
        <v>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0</v>
      </c>
    </row>
    <row r="19" spans="1:33">
      <c r="G19" s="2" t="s">
        <v>92</v>
      </c>
      <c r="J19" s="14"/>
      <c r="K19" s="14" t="b">
        <f>G18=K18</f>
        <v>1</v>
      </c>
    </row>
    <row r="20" spans="1:33">
      <c r="G20" s="41" t="s">
        <v>91</v>
      </c>
      <c r="J20" s="14"/>
      <c r="K20" s="14"/>
      <c r="N20" s="47" t="s">
        <v>28</v>
      </c>
      <c r="O20" s="55"/>
      <c r="P20" s="59"/>
      <c r="Q20" s="59"/>
      <c r="R20" s="59"/>
      <c r="S20" s="59"/>
      <c r="T20" s="59"/>
    </row>
    <row r="21" spans="1:33">
      <c r="J21" s="14"/>
      <c r="K21" s="14"/>
      <c r="N21" s="60">
        <f>別紙2!I5</f>
        <v>0</v>
      </c>
      <c r="O21" s="55"/>
      <c r="P21" s="59"/>
      <c r="Q21" s="59"/>
      <c r="R21" s="59"/>
      <c r="S21" s="59"/>
      <c r="T21" s="59"/>
    </row>
    <row r="22" spans="1:33">
      <c r="F22" s="41" t="s">
        <v>96</v>
      </c>
      <c r="G22" s="15">
        <f>A18-G18</f>
        <v>0</v>
      </c>
      <c r="J22" s="14"/>
      <c r="K22" s="14"/>
      <c r="N22" s="47" t="s">
        <v>29</v>
      </c>
      <c r="O22" s="55"/>
      <c r="P22" s="59"/>
      <c r="Q22" s="47" t="s">
        <v>10</v>
      </c>
      <c r="R22" s="42" t="s">
        <v>101</v>
      </c>
      <c r="S22" s="42" t="s">
        <v>30</v>
      </c>
      <c r="T22" s="47" t="s">
        <v>31</v>
      </c>
      <c r="AC22" t="s">
        <v>119</v>
      </c>
      <c r="AE22" s="65"/>
    </row>
    <row r="23" spans="1:33">
      <c r="J23" s="14"/>
      <c r="K23" s="14"/>
      <c r="N23" s="61">
        <f>総表!D23</f>
        <v>0</v>
      </c>
      <c r="O23" s="55"/>
      <c r="P23" s="59"/>
      <c r="Q23" s="60">
        <f>VLOOKUP($N$23,IF($N$21&gt;=65,$N$6:$AA$10,$N$14:$AA$18),IF($N$25&lt;=10000000,4,IF($N$25&lt;=20000000,8,12)))</f>
        <v>1</v>
      </c>
      <c r="R23" s="61">
        <f>VLOOKUP($N$23,IF($N$21&gt;=65,$N$6:$AA$10,$N$14:$AA$18),IF($N$25&lt;=10000000,5,IF($N$25&lt;=20000000,9,13)))</f>
        <v>-600000</v>
      </c>
      <c r="S23" s="61">
        <f>ROUNDDOWN(IF($N$23*$Q$23+$R$23&gt;0,$N$23*$Q$23+$R$23,0),0)</f>
        <v>0</v>
      </c>
      <c r="T23" s="61">
        <f>N23-S23</f>
        <v>0</v>
      </c>
      <c r="AC23" t="s">
        <v>120</v>
      </c>
    </row>
    <row r="24" spans="1:33">
      <c r="M24" s="41"/>
      <c r="N24" s="47" t="s">
        <v>106</v>
      </c>
      <c r="O24" s="64" t="s">
        <v>114</v>
      </c>
      <c r="P24" s="59"/>
      <c r="Q24" s="55"/>
      <c r="R24" s="62"/>
      <c r="S24" s="62"/>
      <c r="T24" s="55"/>
      <c r="AC24" t="s">
        <v>121</v>
      </c>
    </row>
    <row r="25" spans="1:33">
      <c r="N25" s="61">
        <f>AE18</f>
        <v>0</v>
      </c>
      <c r="O25" s="55"/>
      <c r="P25" s="59"/>
      <c r="Q25" s="59"/>
      <c r="R25" s="63"/>
      <c r="S25" s="63"/>
      <c r="T25" s="63"/>
      <c r="AC25" t="s">
        <v>122</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sheetData>
  <sheetProtection algorithmName="SHA-512" hashValue="ecCWB4r3BlHZwEruxtUa4RIIqJ/nvN8c8I0xs2OX1z4w8/rYNJEQTwf6ufU1WI81XWp+jiv9fdX4960cQWY+tw==" saltValue="eEhu0mz/EigApH0u2TVOzA==" spinCount="100000"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2023-03-30T04:25:24Z</cp:lastPrinted>
  <dcterms:created xsi:type="dcterms:W3CDTF">2022-09-14T02:00:15Z</dcterms:created>
  <dcterms:modified xsi:type="dcterms:W3CDTF">2023-08-20T23:50:18Z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