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X:\保護者負担軽減担当\11_（高校）就学支援金\17_【事務処理マニュアル】リーフレット含む\03_文科作成・e-Shien申請マニュアル\令和７年７月版（①及び②のみ更新）\"/>
    </mc:Choice>
  </mc:AlternateContent>
  <xr:revisionPtr revIDLastSave="0" documentId="13_ncr:1_{856B6250-0321-4110-8069-A397E29DA31B}" xr6:coauthVersionLast="47" xr6:coauthVersionMax="47" xr10:uidLastSave="{00000000-0000-0000-0000-000000000000}"/>
  <bookViews>
    <workbookView xWindow="-108" yWindow="-108" windowWidth="23256" windowHeight="12456" xr2:uid="{FD4AAF38-8FC9-4A00-9C81-1DC603D9C8BC}"/>
  </bookViews>
  <sheets>
    <sheet name="総表" sheetId="11" r:id="rId1"/>
    <sheet name="別紙1" sheetId="16" r:id="rId2"/>
    <sheet name="別紙2" sheetId="17" r:id="rId3"/>
    <sheet name="別紙3" sheetId="18" r:id="rId4"/>
    <sheet name="別紙3-1" sheetId="20" r:id="rId5"/>
    <sheet name="別紙3-2" sheetId="21" r:id="rId6"/>
    <sheet name="（削除不可）給与・年金所得計算" sheetId="23" state="hidden" r:id="rId7"/>
  </sheets>
  <definedNames>
    <definedName name="_xlnm.Print_Area" localSheetId="6">'（削除不可）給与・年金所得計算'!$A$1:$AJ$26</definedName>
    <definedName name="_xlnm.Print_Area" localSheetId="0">総表!$B$3:$O$29</definedName>
    <definedName name="_xlnm.Print_Area" localSheetId="1">別紙1!$B$1:$T$26</definedName>
    <definedName name="_xlnm.Print_Area" localSheetId="2">別紙2!$B$1:$P$19</definedName>
    <definedName name="_xlnm.Print_Area" localSheetId="3">別紙3!$B$1:$O$22</definedName>
    <definedName name="_xlnm.Print_Area" localSheetId="4">'別紙3-1'!$B$1:$O$20</definedName>
    <definedName name="_xlnm.Print_Area" localSheetId="5">'別紙3-2'!$B$1:$O$21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7" l="1"/>
  <c r="M10" i="11"/>
  <c r="M13" i="11" s="1"/>
  <c r="C14" i="20"/>
  <c r="D9" i="16"/>
  <c r="D10" i="16" s="1"/>
  <c r="D9" i="18"/>
  <c r="D10" i="18" s="1"/>
  <c r="D9" i="17"/>
  <c r="D10" i="17" s="1"/>
  <c r="H14" i="21"/>
  <c r="H19" i="20"/>
  <c r="H18" i="20"/>
  <c r="H17" i="20"/>
  <c r="H16" i="20"/>
  <c r="H15" i="20"/>
  <c r="H14" i="20"/>
  <c r="L20" i="18"/>
  <c r="J21" i="18"/>
  <c r="L21" i="18" s="1"/>
  <c r="J20" i="18"/>
  <c r="J19" i="18"/>
  <c r="L19" i="18" s="1"/>
  <c r="J18" i="18"/>
  <c r="L18" i="18" s="1"/>
  <c r="J16" i="18"/>
  <c r="J15" i="18"/>
  <c r="J14" i="18"/>
  <c r="J13" i="18"/>
  <c r="J12" i="18"/>
  <c r="I9" i="17" l="1"/>
  <c r="I10" i="17" s="1"/>
  <c r="E9" i="16"/>
  <c r="F9" i="16" s="1"/>
  <c r="G9" i="16" s="1"/>
  <c r="C15" i="20"/>
  <c r="C16" i="20" s="1"/>
  <c r="C17" i="20" s="1"/>
  <c r="C18" i="20" s="1"/>
  <c r="C19" i="20" s="1"/>
  <c r="E9" i="18"/>
  <c r="E10" i="18" s="1"/>
  <c r="E9" i="17"/>
  <c r="E10" i="17" s="1"/>
  <c r="H21" i="21"/>
  <c r="H20" i="21"/>
  <c r="H19" i="21"/>
  <c r="H18" i="21"/>
  <c r="H17" i="21"/>
  <c r="H16" i="21"/>
  <c r="H15" i="21"/>
  <c r="J18" i="17"/>
  <c r="J17" i="17"/>
  <c r="J16" i="17"/>
  <c r="J15" i="17"/>
  <c r="J14" i="17"/>
  <c r="J13" i="17"/>
  <c r="J12" i="17"/>
  <c r="J11" i="17"/>
  <c r="H9" i="16" l="1"/>
  <c r="I9" i="16" s="1"/>
  <c r="I10" i="16" s="1"/>
  <c r="G10" i="16"/>
  <c r="F9" i="18"/>
  <c r="F9" i="17"/>
  <c r="E10" i="16"/>
  <c r="M18" i="17"/>
  <c r="V18" i="23"/>
  <c r="Z18" i="23" s="1"/>
  <c r="V17" i="23"/>
  <c r="Z17" i="23" s="1"/>
  <c r="P17" i="23"/>
  <c r="Z16" i="23"/>
  <c r="V16" i="23"/>
  <c r="P16" i="23"/>
  <c r="V15" i="23"/>
  <c r="Z15" i="23" s="1"/>
  <c r="P15" i="23"/>
  <c r="V14" i="23"/>
  <c r="P14" i="23"/>
  <c r="C14" i="23"/>
  <c r="C13" i="23"/>
  <c r="C12" i="23"/>
  <c r="C11" i="23"/>
  <c r="Z10" i="23"/>
  <c r="V10" i="23"/>
  <c r="C10" i="23"/>
  <c r="Z9" i="23"/>
  <c r="V9" i="23"/>
  <c r="P9" i="23"/>
  <c r="C9" i="23"/>
  <c r="Z8" i="23"/>
  <c r="V8" i="23"/>
  <c r="P8" i="23"/>
  <c r="C8" i="23"/>
  <c r="AG7" i="23"/>
  <c r="AG9" i="23" s="1"/>
  <c r="AE16" i="23" s="1"/>
  <c r="V7" i="23"/>
  <c r="Z7" i="23" s="1"/>
  <c r="P7" i="23"/>
  <c r="C7" i="23"/>
  <c r="Z6" i="23"/>
  <c r="V6" i="23"/>
  <c r="P6" i="23"/>
  <c r="C6" i="23"/>
  <c r="C5" i="23"/>
  <c r="I4" i="18"/>
  <c r="E5" i="16"/>
  <c r="F10" i="18" l="1"/>
  <c r="G9" i="18"/>
  <c r="F10" i="17"/>
  <c r="G9" i="17"/>
  <c r="F10" i="16"/>
  <c r="Z14" i="23"/>
  <c r="G10" i="17" l="1"/>
  <c r="H9" i="17"/>
  <c r="G10" i="18"/>
  <c r="H9" i="18"/>
  <c r="G8" i="21"/>
  <c r="E8" i="21"/>
  <c r="C8" i="21"/>
  <c r="I6" i="21"/>
  <c r="C6" i="21"/>
  <c r="G8" i="20"/>
  <c r="E8" i="20"/>
  <c r="C8" i="20"/>
  <c r="I6" i="20"/>
  <c r="C6" i="20"/>
  <c r="G5" i="18"/>
  <c r="G5" i="17"/>
  <c r="G5" i="16"/>
  <c r="P24" i="16"/>
  <c r="J24" i="16"/>
  <c r="O24" i="16" s="1"/>
  <c r="J14" i="16"/>
  <c r="K15" i="18"/>
  <c r="L15" i="18" s="1"/>
  <c r="E5" i="18"/>
  <c r="C5" i="18"/>
  <c r="C4" i="18"/>
  <c r="E5" i="17"/>
  <c r="C5" i="17"/>
  <c r="I4" i="17"/>
  <c r="N18" i="17" s="1"/>
  <c r="O18" i="17" s="1"/>
  <c r="C4" i="17"/>
  <c r="I4" i="16"/>
  <c r="P16" i="16" s="1"/>
  <c r="J16" i="16"/>
  <c r="J15" i="16"/>
  <c r="J13" i="16"/>
  <c r="J12" i="16"/>
  <c r="J25" i="16"/>
  <c r="O25" i="16" s="1"/>
  <c r="J23" i="16"/>
  <c r="O23" i="16" s="1"/>
  <c r="J22" i="16"/>
  <c r="O22" i="16" s="1"/>
  <c r="J21" i="16"/>
  <c r="O21" i="16" s="1"/>
  <c r="P25" i="16"/>
  <c r="Q25" i="16" s="1"/>
  <c r="P23" i="16"/>
  <c r="P22" i="16"/>
  <c r="P21" i="16"/>
  <c r="C5" i="16"/>
  <c r="C4" i="16"/>
  <c r="Q24" i="16" l="1"/>
  <c r="Q23" i="16"/>
  <c r="Q22" i="16"/>
  <c r="Q21" i="16"/>
  <c r="H10" i="18"/>
  <c r="I9" i="18"/>
  <c r="I10" i="18" s="1"/>
  <c r="H10" i="17"/>
  <c r="H10" i="16"/>
  <c r="I5" i="17"/>
  <c r="N21" i="23" s="1"/>
  <c r="O16" i="16"/>
  <c r="Q16" i="16" s="1"/>
  <c r="K13" i="18"/>
  <c r="L13" i="18" s="1"/>
  <c r="K14" i="18"/>
  <c r="L14" i="18" s="1"/>
  <c r="K16" i="18"/>
  <c r="L16" i="18" s="1"/>
  <c r="K12" i="18"/>
  <c r="L12" i="18" s="1"/>
  <c r="N21" i="18" l="1"/>
  <c r="D28" i="11" s="1"/>
  <c r="AE17" i="23" s="1"/>
  <c r="D23" i="11"/>
  <c r="N23" i="23" s="1"/>
  <c r="S25" i="16"/>
  <c r="D18" i="11" l="1"/>
  <c r="A18" i="23" s="1"/>
  <c r="AD9" i="23" s="1"/>
  <c r="L5" i="23" l="1"/>
  <c r="J5" i="23" s="1"/>
  <c r="K5" i="23" s="1"/>
  <c r="M5" i="23" s="1"/>
  <c r="AF9" i="23"/>
  <c r="L15" i="23"/>
  <c r="J15" i="23" s="1"/>
  <c r="K15" i="23" s="1"/>
  <c r="M15" i="23" s="1"/>
  <c r="G5" i="23"/>
  <c r="G9" i="23"/>
  <c r="G13" i="23"/>
  <c r="G12" i="23"/>
  <c r="L14" i="23"/>
  <c r="J14" i="23" s="1"/>
  <c r="K14" i="23" s="1"/>
  <c r="M14" i="23" s="1"/>
  <c r="G6" i="23"/>
  <c r="G10" i="23"/>
  <c r="G14" i="23"/>
  <c r="L13" i="23"/>
  <c r="J13" i="23" s="1"/>
  <c r="K13" i="23" s="1"/>
  <c r="M13" i="23" s="1"/>
  <c r="G15" i="23"/>
  <c r="G7" i="23"/>
  <c r="G11" i="23"/>
  <c r="D18" i="23"/>
  <c r="G8" i="23"/>
  <c r="L7" i="23"/>
  <c r="J7" i="23" s="1"/>
  <c r="K7" i="23" s="1"/>
  <c r="M7" i="23" s="1"/>
  <c r="F18" i="23"/>
  <c r="L9" i="23"/>
  <c r="J9" i="23" s="1"/>
  <c r="K9" i="23" s="1"/>
  <c r="M9" i="23" s="1"/>
  <c r="L10" i="23"/>
  <c r="J10" i="23" s="1"/>
  <c r="K10" i="23" s="1"/>
  <c r="M10" i="23" s="1"/>
  <c r="L6" i="23"/>
  <c r="J6" i="23" s="1"/>
  <c r="K6" i="23" s="1"/>
  <c r="M6" i="23" s="1"/>
  <c r="L11" i="23"/>
  <c r="J11" i="23" s="1"/>
  <c r="K11" i="23" s="1"/>
  <c r="M11" i="23" s="1"/>
  <c r="L12" i="23"/>
  <c r="J12" i="23" s="1"/>
  <c r="K12" i="23" s="1"/>
  <c r="M12" i="23" s="1"/>
  <c r="L8" i="23"/>
  <c r="J8" i="23" s="1"/>
  <c r="K8" i="23" s="1"/>
  <c r="M8" i="23" s="1"/>
  <c r="E18" i="23"/>
  <c r="K18" i="23" l="1"/>
  <c r="G18" i="23"/>
  <c r="AE15" i="23" s="1"/>
  <c r="L18" i="23" l="1"/>
  <c r="AD5" i="23"/>
  <c r="AE18" i="23"/>
  <c r="N25" i="23" s="1"/>
  <c r="H18" i="11"/>
  <c r="K19" i="23"/>
  <c r="G22" i="23"/>
  <c r="F18" i="11" s="1"/>
  <c r="X8" i="23" l="1"/>
  <c r="W8" i="23" s="1"/>
  <c r="X9" i="23"/>
  <c r="W9" i="23" s="1"/>
  <c r="AB9" i="23"/>
  <c r="AA9" i="23" s="1"/>
  <c r="T8" i="23"/>
  <c r="S8" i="23" s="1"/>
  <c r="X6" i="23"/>
  <c r="W6" i="23" s="1"/>
  <c r="T10" i="23"/>
  <c r="S10" i="23" s="1"/>
  <c r="AB7" i="23"/>
  <c r="AA7" i="23" s="1"/>
  <c r="T7" i="23"/>
  <c r="S7" i="23" s="1"/>
  <c r="AB6" i="23"/>
  <c r="AA6" i="23" s="1"/>
  <c r="X10" i="23"/>
  <c r="W10" i="23" s="1"/>
  <c r="AB18" i="23"/>
  <c r="AA18" i="23" s="1"/>
  <c r="T9" i="23"/>
  <c r="S9" i="23" s="1"/>
  <c r="AB8" i="23"/>
  <c r="AA8" i="23" s="1"/>
  <c r="AB10" i="23"/>
  <c r="AA10" i="23" s="1"/>
  <c r="X7" i="23"/>
  <c r="W7" i="23" s="1"/>
  <c r="T6" i="23"/>
  <c r="S6" i="23" s="1"/>
  <c r="Q23" i="23"/>
  <c r="M23" i="11"/>
  <c r="T18" i="23" l="1"/>
  <c r="S18" i="23" s="1"/>
  <c r="X15" i="23"/>
  <c r="W15" i="23" s="1"/>
  <c r="T17" i="23"/>
  <c r="S17" i="23" s="1"/>
  <c r="T15" i="23"/>
  <c r="S15" i="23" s="1"/>
  <c r="X18" i="23"/>
  <c r="W18" i="23" s="1"/>
  <c r="AB16" i="23"/>
  <c r="AA16" i="23" s="1"/>
  <c r="AB15" i="23"/>
  <c r="AA15" i="23" s="1"/>
  <c r="AB17" i="23"/>
  <c r="AA17" i="23" s="1"/>
  <c r="X16" i="23"/>
  <c r="W16" i="23" s="1"/>
  <c r="T16" i="23"/>
  <c r="S16" i="23" s="1"/>
  <c r="T14" i="23"/>
  <c r="S14" i="23" s="1"/>
  <c r="R23" i="23"/>
  <c r="S23" i="23" s="1"/>
  <c r="AB14" i="23"/>
  <c r="AA14" i="23" s="1"/>
  <c r="X14" i="23"/>
  <c r="W14" i="23" s="1"/>
  <c r="X17" i="23"/>
  <c r="W17" i="23" s="1"/>
  <c r="T23" i="23" l="1"/>
  <c r="F23" i="11" s="1"/>
  <c r="AE5" i="23"/>
  <c r="AG5" i="23" s="1"/>
  <c r="AG11" i="23" s="1"/>
  <c r="J18" i="11" s="1"/>
  <c r="M18" i="11" s="1"/>
  <c r="H23" i="11"/>
  <c r="M28"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渡邊恭男</author>
  </authors>
  <commentList>
    <comment ref="E7" authorId="0" shapeId="0" xr:uid="{D112F518-1F49-4E0C-9D2D-A72BF0AEB866}">
      <text>
        <r>
          <rPr>
            <sz val="9"/>
            <color indexed="81"/>
            <rFont val="MS P ゴシック"/>
            <family val="3"/>
            <charset val="128"/>
          </rPr>
          <t>「yyyy/m/d」で入力してください。</t>
        </r>
      </text>
    </comment>
    <comment ref="I7" authorId="0" shapeId="0" xr:uid="{D117ADD5-73D2-4BC2-A08E-322D55349BB8}">
      <text>
        <r>
          <rPr>
            <sz val="9"/>
            <color indexed="81"/>
            <rFont val="MS P ゴシック"/>
            <family val="3"/>
            <charset val="128"/>
          </rPr>
          <t>「yyyy/m/d」で入力してください。</t>
        </r>
      </text>
    </comment>
    <comment ref="M7" authorId="0" shapeId="0" xr:uid="{D7045F41-1D0F-452D-81CF-BEE7AE69DDD5}">
      <text>
        <r>
          <rPr>
            <sz val="9"/>
            <color indexed="81"/>
            <rFont val="MS P ゴシック"/>
            <family val="3"/>
            <charset val="128"/>
          </rPr>
          <t>年月を選択してください。</t>
        </r>
      </text>
    </comment>
    <comment ref="I10" authorId="0" shapeId="0" xr:uid="{A4FFCE63-A6AE-4B0B-B918-01BF10644289}">
      <text>
        <r>
          <rPr>
            <sz val="9"/>
            <color indexed="81"/>
            <rFont val="MS P ゴシック"/>
            <family val="3"/>
            <charset val="128"/>
          </rPr>
          <t>該当する場合は次から選択してください。
・はい（家計急変者自身が特別障害者）
・はい（同一生計配偶者が特別障害者）
・はい（扶養親族が特別障害者）
・はい（23歳未満の扶養親族がいる）
・いいえ</t>
        </r>
      </text>
    </comment>
    <comment ref="J13" authorId="0" shapeId="0" xr:uid="{A045F8C6-0E41-46BB-BE83-ADD6CFB03203}">
      <text>
        <r>
          <rPr>
            <sz val="9"/>
            <color indexed="81"/>
            <rFont val="MS P ゴシック"/>
            <family val="3"/>
            <charset val="128"/>
          </rPr>
          <t>該当する場合は「✓」を選択してください。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渡邊恭男</author>
  </authors>
  <commentList>
    <comment ref="AD9" authorId="0" shapeId="0" xr:uid="{6E4237C5-B669-4CEB-AAE7-075908D56025}">
      <text>
        <r>
          <rPr>
            <sz val="9"/>
            <color indexed="81"/>
            <rFont val="MS P ゴシック"/>
            <family val="3"/>
            <charset val="128"/>
          </rPr>
          <t>850万円以下の場合「0」が表示される設定</t>
        </r>
      </text>
    </comment>
    <comment ref="AD16" authorId="0" shapeId="0" xr:uid="{F0700E5D-6450-4F51-A1BE-47E068E058EA}">
      <text>
        <r>
          <rPr>
            <sz val="9"/>
            <color indexed="81"/>
            <rFont val="MS P ゴシック"/>
            <family val="3"/>
            <charset val="128"/>
          </rPr>
          <t>「所得金額調整控除に相当する額②」は引かない</t>
        </r>
      </text>
    </comment>
  </commentList>
</comments>
</file>

<file path=xl/sharedStrings.xml><?xml version="1.0" encoding="utf-8"?>
<sst xmlns="http://schemas.openxmlformats.org/spreadsheetml/2006/main" count="257" uniqueCount="169">
  <si>
    <t>（賞与）</t>
    <phoneticPr fontId="1"/>
  </si>
  <si>
    <t>左記収入計</t>
    <rPh sb="0" eb="2">
      <t>サキ</t>
    </rPh>
    <rPh sb="2" eb="4">
      <t>シュウニュウ</t>
    </rPh>
    <rPh sb="4" eb="5">
      <t>ケイ</t>
    </rPh>
    <phoneticPr fontId="1"/>
  </si>
  <si>
    <t>給与所得控除額</t>
    <rPh sb="0" eb="2">
      <t>キュウヨ</t>
    </rPh>
    <rPh sb="2" eb="4">
      <t>ショトク</t>
    </rPh>
    <rPh sb="4" eb="7">
      <t>コウジョガク</t>
    </rPh>
    <phoneticPr fontId="1"/>
  </si>
  <si>
    <t>（システム入力金額）</t>
    <rPh sb="5" eb="7">
      <t>ニュウリョク</t>
    </rPh>
    <rPh sb="7" eb="9">
      <t>キンガク</t>
    </rPh>
    <phoneticPr fontId="1"/>
  </si>
  <si>
    <t>区　分</t>
    <rPh sb="0" eb="1">
      <t>ク</t>
    </rPh>
    <rPh sb="2" eb="3">
      <t>ブン</t>
    </rPh>
    <phoneticPr fontId="1"/>
  </si>
  <si>
    <t>か月分</t>
    <rPh sb="1" eb="2">
      <t>ゲツ</t>
    </rPh>
    <rPh sb="2" eb="3">
      <t>ブン</t>
    </rPh>
    <phoneticPr fontId="1"/>
  </si>
  <si>
    <t>～</t>
    <phoneticPr fontId="1"/>
  </si>
  <si>
    <t>歳</t>
    <rPh sb="0" eb="1">
      <t>サイ</t>
    </rPh>
    <phoneticPr fontId="1"/>
  </si>
  <si>
    <t>●公的年金等所得の控除額算定</t>
    <rPh sb="1" eb="3">
      <t>コウテキ</t>
    </rPh>
    <rPh sb="3" eb="5">
      <t>ネンキン</t>
    </rPh>
    <rPh sb="5" eb="6">
      <t>トウ</t>
    </rPh>
    <rPh sb="6" eb="8">
      <t>ショトク</t>
    </rPh>
    <rPh sb="9" eb="12">
      <t>コウジョガク</t>
    </rPh>
    <rPh sb="12" eb="14">
      <t>サンテイ</t>
    </rPh>
    <phoneticPr fontId="5"/>
  </si>
  <si>
    <t>÷</t>
    <phoneticPr fontId="5"/>
  </si>
  <si>
    <t>×</t>
    <phoneticPr fontId="5"/>
  </si>
  <si>
    <t>控除額</t>
    <rPh sb="0" eb="3">
      <t>コウジョガク</t>
    </rPh>
    <phoneticPr fontId="5"/>
  </si>
  <si>
    <t>所得金額調整控除の額算式①</t>
    <rPh sb="0" eb="2">
      <t>ショトク</t>
    </rPh>
    <rPh sb="2" eb="4">
      <t>キンガク</t>
    </rPh>
    <rPh sb="4" eb="6">
      <t>チョウセイ</t>
    </rPh>
    <rPh sb="6" eb="8">
      <t>コウジョ</t>
    </rPh>
    <rPh sb="9" eb="10">
      <t>ガク</t>
    </rPh>
    <rPh sb="10" eb="12">
      <t>サンシキ</t>
    </rPh>
    <phoneticPr fontId="5"/>
  </si>
  <si>
    <t>所得金額調整控除の額算式②</t>
    <rPh sb="0" eb="2">
      <t>ショトク</t>
    </rPh>
    <rPh sb="2" eb="4">
      <t>キンガク</t>
    </rPh>
    <rPh sb="4" eb="6">
      <t>チョウセイ</t>
    </rPh>
    <rPh sb="6" eb="8">
      <t>コウジョ</t>
    </rPh>
    <rPh sb="9" eb="10">
      <t>ガク</t>
    </rPh>
    <rPh sb="10" eb="12">
      <t>サンシキ</t>
    </rPh>
    <phoneticPr fontId="5"/>
  </si>
  <si>
    <t>給与所得控除後給与等の金額</t>
    <rPh sb="0" eb="2">
      <t>キュウヨ</t>
    </rPh>
    <rPh sb="2" eb="4">
      <t>ショトク</t>
    </rPh>
    <rPh sb="4" eb="6">
      <t>コウジョ</t>
    </rPh>
    <rPh sb="6" eb="7">
      <t>ゴ</t>
    </rPh>
    <rPh sb="7" eb="9">
      <t>キュウヨ</t>
    </rPh>
    <rPh sb="9" eb="10">
      <t>トウ</t>
    </rPh>
    <rPh sb="11" eb="13">
      <t>キンガク</t>
    </rPh>
    <phoneticPr fontId="5"/>
  </si>
  <si>
    <t>公的年金等に係る雑所得の金額</t>
    <rPh sb="0" eb="2">
      <t>コウテキ</t>
    </rPh>
    <rPh sb="2" eb="4">
      <t>ネンキン</t>
    </rPh>
    <rPh sb="4" eb="5">
      <t>トウ</t>
    </rPh>
    <rPh sb="6" eb="7">
      <t>カカ</t>
    </rPh>
    <rPh sb="8" eb="11">
      <t>ザツショトク</t>
    </rPh>
    <rPh sb="12" eb="14">
      <t>キンガク</t>
    </rPh>
    <phoneticPr fontId="5"/>
  </si>
  <si>
    <t>収入証明書類の提出月数</t>
    <rPh sb="0" eb="2">
      <t>シュウニュウ</t>
    </rPh>
    <rPh sb="2" eb="4">
      <t>ショウメイ</t>
    </rPh>
    <rPh sb="4" eb="6">
      <t>ショルイ</t>
    </rPh>
    <rPh sb="7" eb="9">
      <t>テイシュツ</t>
    </rPh>
    <rPh sb="9" eb="11">
      <t>ツキスウ</t>
    </rPh>
    <phoneticPr fontId="1"/>
  </si>
  <si>
    <t>～</t>
  </si>
  <si>
    <t>給与所得の金額</t>
    <rPh sb="0" eb="2">
      <t>キュウヨ</t>
    </rPh>
    <rPh sb="2" eb="4">
      <t>ショトク</t>
    </rPh>
    <rPh sb="5" eb="7">
      <t>キンガク</t>
    </rPh>
    <phoneticPr fontId="1"/>
  </si>
  <si>
    <t>給与所得の計算式</t>
    <rPh sb="0" eb="2">
      <t>キュウヨ</t>
    </rPh>
    <rPh sb="2" eb="4">
      <t>ショトク</t>
    </rPh>
    <rPh sb="5" eb="8">
      <t>ケイサンシキ</t>
    </rPh>
    <phoneticPr fontId="1"/>
  </si>
  <si>
    <t>収入額－550,000円</t>
    <rPh sb="0" eb="3">
      <t>シュウニュウガク</t>
    </rPh>
    <rPh sb="11" eb="12">
      <t>エン</t>
    </rPh>
    <phoneticPr fontId="1"/>
  </si>
  <si>
    <t>1,069,000円</t>
    <rPh sb="9" eb="10">
      <t>エン</t>
    </rPh>
    <phoneticPr fontId="1"/>
  </si>
  <si>
    <t>1,070,000円</t>
    <rPh sb="9" eb="10">
      <t>エン</t>
    </rPh>
    <phoneticPr fontId="1"/>
  </si>
  <si>
    <t>1,072,000円</t>
    <rPh sb="9" eb="10">
      <t>エン</t>
    </rPh>
    <phoneticPr fontId="1"/>
  </si>
  <si>
    <t>1,074,000円</t>
    <rPh sb="9" eb="10">
      <t>エン</t>
    </rPh>
    <phoneticPr fontId="1"/>
  </si>
  <si>
    <t>収入額－1,950,000円</t>
    <rPh sb="0" eb="3">
      <t>シュウニュウガク</t>
    </rPh>
    <rPh sb="13" eb="14">
      <t>エン</t>
    </rPh>
    <phoneticPr fontId="1"/>
  </si>
  <si>
    <t>収入額×0.9－1,100,000円</t>
    <rPh sb="0" eb="3">
      <t>シュウニュウガク</t>
    </rPh>
    <rPh sb="17" eb="18">
      <t>エン</t>
    </rPh>
    <phoneticPr fontId="1"/>
  </si>
  <si>
    <t>0円</t>
    <rPh sb="1" eb="2">
      <t>エン</t>
    </rPh>
    <phoneticPr fontId="1"/>
  </si>
  <si>
    <t>年齢</t>
    <rPh sb="0" eb="2">
      <t>ネンレイ</t>
    </rPh>
    <phoneticPr fontId="1"/>
  </si>
  <si>
    <t>収入額</t>
    <rPh sb="0" eb="2">
      <t>シュウニュウ</t>
    </rPh>
    <rPh sb="2" eb="3">
      <t>ガク</t>
    </rPh>
    <phoneticPr fontId="1"/>
  </si>
  <si>
    <t>公的年金等所得</t>
    <phoneticPr fontId="1"/>
  </si>
  <si>
    <t>控除額</t>
    <rPh sb="0" eb="2">
      <t>コウジョ</t>
    </rPh>
    <rPh sb="2" eb="3">
      <t>ガク</t>
    </rPh>
    <phoneticPr fontId="1"/>
  </si>
  <si>
    <t>所得金額調整控除額に相当する額</t>
    <rPh sb="0" eb="2">
      <t>ショトク</t>
    </rPh>
    <rPh sb="2" eb="4">
      <t>キンガク</t>
    </rPh>
    <rPh sb="4" eb="6">
      <t>チョウセイ</t>
    </rPh>
    <rPh sb="6" eb="8">
      <t>コウジョ</t>
    </rPh>
    <rPh sb="8" eb="9">
      <t>ガク</t>
    </rPh>
    <phoneticPr fontId="1"/>
  </si>
  <si>
    <t>生徒氏名</t>
    <rPh sb="0" eb="2">
      <t>セイト</t>
    </rPh>
    <rPh sb="2" eb="4">
      <t>シメイ</t>
    </rPh>
    <phoneticPr fontId="1"/>
  </si>
  <si>
    <t>家計急変者氏名</t>
    <rPh sb="0" eb="2">
      <t>カケイ</t>
    </rPh>
    <rPh sb="2" eb="4">
      <t>キュウヘン</t>
    </rPh>
    <rPh sb="4" eb="5">
      <t>シャ</t>
    </rPh>
    <rPh sb="5" eb="7">
      <t>シメイ</t>
    </rPh>
    <phoneticPr fontId="1"/>
  </si>
  <si>
    <t>家計急変者生年月日</t>
    <rPh sb="0" eb="2">
      <t>カケイ</t>
    </rPh>
    <rPh sb="2" eb="4">
      <t>キュウヘン</t>
    </rPh>
    <rPh sb="4" eb="5">
      <t>シャ</t>
    </rPh>
    <rPh sb="5" eb="7">
      <t>セイネン</t>
    </rPh>
    <rPh sb="7" eb="9">
      <t>ガッピ</t>
    </rPh>
    <phoneticPr fontId="1"/>
  </si>
  <si>
    <t>年間換算額
（別紙１の金額）</t>
    <rPh sb="0" eb="2">
      <t>ネンカン</t>
    </rPh>
    <rPh sb="2" eb="4">
      <t>カンサン</t>
    </rPh>
    <rPh sb="4" eb="5">
      <t>ガク</t>
    </rPh>
    <rPh sb="7" eb="9">
      <t>ベッシ</t>
    </rPh>
    <rPh sb="11" eb="13">
      <t>キンガク</t>
    </rPh>
    <phoneticPr fontId="1"/>
  </si>
  <si>
    <t>年間換算額
（別紙２の金額）</t>
    <rPh sb="0" eb="2">
      <t>ネンカン</t>
    </rPh>
    <rPh sb="2" eb="4">
      <t>カンサン</t>
    </rPh>
    <rPh sb="4" eb="5">
      <t>ガク</t>
    </rPh>
    <rPh sb="7" eb="9">
      <t>ベッシ</t>
    </rPh>
    <rPh sb="11" eb="13">
      <t>キンガク</t>
    </rPh>
    <phoneticPr fontId="1"/>
  </si>
  <si>
    <t>年間換算額
（別紙３の金額）</t>
    <rPh sb="0" eb="2">
      <t>ネンカン</t>
    </rPh>
    <rPh sb="2" eb="4">
      <t>カンサン</t>
    </rPh>
    <rPh sb="4" eb="5">
      <t>ガク</t>
    </rPh>
    <rPh sb="7" eb="9">
      <t>ベッシ</t>
    </rPh>
    <rPh sb="11" eb="13">
      <t>キンガク</t>
    </rPh>
    <phoneticPr fontId="1"/>
  </si>
  <si>
    <t>（２）公的年金等に係る雑所得に相当する額</t>
    <rPh sb="3" eb="5">
      <t>コウテキ</t>
    </rPh>
    <rPh sb="5" eb="7">
      <t>ネンキン</t>
    </rPh>
    <rPh sb="7" eb="8">
      <t>トウ</t>
    </rPh>
    <rPh sb="9" eb="10">
      <t>カカ</t>
    </rPh>
    <rPh sb="11" eb="14">
      <t>ザツショトク</t>
    </rPh>
    <rPh sb="15" eb="17">
      <t>ソウトウ</t>
    </rPh>
    <rPh sb="19" eb="20">
      <t>ガク</t>
    </rPh>
    <phoneticPr fontId="1"/>
  </si>
  <si>
    <t>公的年金等控除額
に相当する額</t>
    <rPh sb="0" eb="2">
      <t>コウテキ</t>
    </rPh>
    <rPh sb="2" eb="4">
      <t>ネンキン</t>
    </rPh>
    <rPh sb="4" eb="5">
      <t>トウ</t>
    </rPh>
    <rPh sb="5" eb="8">
      <t>コウジョガク</t>
    </rPh>
    <rPh sb="10" eb="12">
      <t>ソウトウ</t>
    </rPh>
    <rPh sb="14" eb="15">
      <t>ガク</t>
    </rPh>
    <phoneticPr fontId="1"/>
  </si>
  <si>
    <t>給与所得控除額
に相当する額</t>
    <rPh sb="0" eb="2">
      <t>キュウヨ</t>
    </rPh>
    <rPh sb="2" eb="4">
      <t>ショトク</t>
    </rPh>
    <rPh sb="4" eb="7">
      <t>コウジョガク</t>
    </rPh>
    <rPh sb="9" eb="11">
      <t>ソウトウ</t>
    </rPh>
    <rPh sb="13" eb="14">
      <t>ガク</t>
    </rPh>
    <phoneticPr fontId="1"/>
  </si>
  <si>
    <t>公的年金等に係る
雑所得に相当する額</t>
    <rPh sb="0" eb="2">
      <t>コウテキ</t>
    </rPh>
    <rPh sb="2" eb="4">
      <t>ネンキン</t>
    </rPh>
    <rPh sb="4" eb="5">
      <t>トウ</t>
    </rPh>
    <rPh sb="6" eb="7">
      <t>カカ</t>
    </rPh>
    <rPh sb="9" eb="12">
      <t>ザツショトク</t>
    </rPh>
    <rPh sb="13" eb="15">
      <t>ソウトウ</t>
    </rPh>
    <rPh sb="17" eb="18">
      <t>ガク</t>
    </rPh>
    <phoneticPr fontId="1"/>
  </si>
  <si>
    <t>収入証明書類の
提出期間（年月）</t>
    <rPh sb="0" eb="2">
      <t>シュウニュウ</t>
    </rPh>
    <rPh sb="2" eb="4">
      <t>ショウメイ</t>
    </rPh>
    <rPh sb="4" eb="6">
      <t>ショルイ</t>
    </rPh>
    <rPh sb="8" eb="10">
      <t>テイシュツ</t>
    </rPh>
    <rPh sb="10" eb="12">
      <t>キカン</t>
    </rPh>
    <rPh sb="13" eb="15">
      <t>ネンゲツ</t>
    </rPh>
    <phoneticPr fontId="1"/>
  </si>
  <si>
    <t>勤務先③：</t>
    <rPh sb="0" eb="3">
      <t>キンムサキ</t>
    </rPh>
    <phoneticPr fontId="1"/>
  </si>
  <si>
    <t>勤務先②：</t>
    <rPh sb="0" eb="3">
      <t>キンムサキ</t>
    </rPh>
    <phoneticPr fontId="1"/>
  </si>
  <si>
    <t>勤務先④：</t>
    <rPh sb="0" eb="3">
      <t>キンムサキ</t>
    </rPh>
    <phoneticPr fontId="1"/>
  </si>
  <si>
    <t>（A）</t>
    <phoneticPr fontId="1"/>
  </si>
  <si>
    <t>（B）</t>
    <phoneticPr fontId="1"/>
  </si>
  <si>
    <t>左記賞与</t>
    <rPh sb="2" eb="4">
      <t>ショウヨ</t>
    </rPh>
    <phoneticPr fontId="1"/>
  </si>
  <si>
    <t>左記給与計</t>
    <rPh sb="0" eb="2">
      <t>サキ</t>
    </rPh>
    <rPh sb="2" eb="4">
      <t>キュウヨ</t>
    </rPh>
    <rPh sb="4" eb="5">
      <t>ケイ</t>
    </rPh>
    <phoneticPr fontId="1"/>
  </si>
  <si>
    <t>左記期間</t>
    <rPh sb="0" eb="2">
      <t>サキ</t>
    </rPh>
    <rPh sb="2" eb="4">
      <t>キカン</t>
    </rPh>
    <phoneticPr fontId="1"/>
  </si>
  <si>
    <t>合計額</t>
    <rPh sb="0" eb="2">
      <t>ゴウケイ</t>
    </rPh>
    <rPh sb="2" eb="3">
      <t>ガク</t>
    </rPh>
    <phoneticPr fontId="1"/>
  </si>
  <si>
    <t>年間換算額</t>
    <rPh sb="0" eb="2">
      <t>ネンカン</t>
    </rPh>
    <rPh sb="2" eb="4">
      <t>カンサン</t>
    </rPh>
    <rPh sb="4" eb="5">
      <t>ガク</t>
    </rPh>
    <phoneticPr fontId="1"/>
  </si>
  <si>
    <t>家計急変者
生年月日：</t>
    <rPh sb="0" eb="2">
      <t>カケイ</t>
    </rPh>
    <rPh sb="2" eb="4">
      <t>キュウヘン</t>
    </rPh>
    <rPh sb="4" eb="5">
      <t>シャ</t>
    </rPh>
    <rPh sb="6" eb="8">
      <t>セイネン</t>
    </rPh>
    <rPh sb="8" eb="10">
      <t>ガッピ</t>
    </rPh>
    <phoneticPr fontId="1"/>
  </si>
  <si>
    <t>（２）公的年金等収入金額（控除前）</t>
    <rPh sb="3" eb="5">
      <t>コウテキ</t>
    </rPh>
    <rPh sb="5" eb="7">
      <t>ネンキン</t>
    </rPh>
    <rPh sb="7" eb="8">
      <t>トウ</t>
    </rPh>
    <rPh sb="13" eb="15">
      <t>コウジョ</t>
    </rPh>
    <rPh sb="15" eb="16">
      <t>マエ</t>
    </rPh>
    <phoneticPr fontId="1"/>
  </si>
  <si>
    <t>⑤</t>
    <phoneticPr fontId="1"/>
  </si>
  <si>
    <t>（単位：円）</t>
    <rPh sb="1" eb="3">
      <t>タンイ</t>
    </rPh>
    <rPh sb="4" eb="5">
      <t>エン</t>
    </rPh>
    <phoneticPr fontId="1"/>
  </si>
  <si>
    <t>※（１）～（３）の合計金額が合計所得金額に相当する額</t>
    <rPh sb="9" eb="11">
      <t>ゴウケイ</t>
    </rPh>
    <rPh sb="11" eb="13">
      <t>キンガク</t>
    </rPh>
    <rPh sb="14" eb="16">
      <t>ゴウケイ</t>
    </rPh>
    <rPh sb="16" eb="18">
      <t>ショトク</t>
    </rPh>
    <rPh sb="18" eb="20">
      <t>キンガク</t>
    </rPh>
    <rPh sb="21" eb="23">
      <t>ソウトウ</t>
    </rPh>
    <rPh sb="25" eb="26">
      <t>ガク</t>
    </rPh>
    <phoneticPr fontId="1"/>
  </si>
  <si>
    <t>勤務先⑤：</t>
    <rPh sb="0" eb="3">
      <t>キンムサキ</t>
    </rPh>
    <phoneticPr fontId="1"/>
  </si>
  <si>
    <t>※負の場合0</t>
    <phoneticPr fontId="1"/>
  </si>
  <si>
    <t>（一時的な所得）</t>
    <rPh sb="1" eb="3">
      <t>イチジ</t>
    </rPh>
    <rPh sb="3" eb="4">
      <t>テキ</t>
    </rPh>
    <rPh sb="5" eb="7">
      <t>ショトク</t>
    </rPh>
    <phoneticPr fontId="1"/>
  </si>
  <si>
    <t>経　費</t>
    <rPh sb="0" eb="1">
      <t>ヘ</t>
    </rPh>
    <rPh sb="2" eb="3">
      <t>ヒ</t>
    </rPh>
    <phoneticPr fontId="1"/>
  </si>
  <si>
    <t>事業所名
（屋号）：</t>
    <rPh sb="0" eb="3">
      <t>ジギョウショ</t>
    </rPh>
    <rPh sb="3" eb="4">
      <t>メイ</t>
    </rPh>
    <rPh sb="6" eb="8">
      <t>ヤゴウ</t>
    </rPh>
    <phoneticPr fontId="1"/>
  </si>
  <si>
    <t>合計所得金額に
相当する額</t>
    <rPh sb="0" eb="2">
      <t>ゴウケイ</t>
    </rPh>
    <rPh sb="2" eb="4">
      <t>ショトク</t>
    </rPh>
    <rPh sb="4" eb="6">
      <t>キンガク</t>
    </rPh>
    <rPh sb="8" eb="10">
      <t>ソウトウ</t>
    </rPh>
    <rPh sb="12" eb="13">
      <t>ガク</t>
    </rPh>
    <phoneticPr fontId="1"/>
  </si>
  <si>
    <t>（恒常的な所得）</t>
    <rPh sb="1" eb="3">
      <t>コウジョウ</t>
    </rPh>
    <rPh sb="3" eb="4">
      <t>テキ</t>
    </rPh>
    <rPh sb="5" eb="7">
      <t>ショトク</t>
    </rPh>
    <phoneticPr fontId="1"/>
  </si>
  <si>
    <t>所得の具体的内容</t>
    <rPh sb="0" eb="2">
      <t>ショトク</t>
    </rPh>
    <rPh sb="3" eb="5">
      <t>グタイ</t>
    </rPh>
    <rPh sb="5" eb="6">
      <t>テキ</t>
    </rPh>
    <rPh sb="6" eb="8">
      <t>ナイヨウ</t>
    </rPh>
    <phoneticPr fontId="1"/>
  </si>
  <si>
    <t>受領
年月日</t>
    <rPh sb="0" eb="2">
      <t>ズリョウ</t>
    </rPh>
    <rPh sb="3" eb="6">
      <t>ネンガッピ</t>
    </rPh>
    <phoneticPr fontId="1"/>
  </si>
  <si>
    <t>所得の種類</t>
    <rPh sb="0" eb="2">
      <t>ショトク</t>
    </rPh>
    <rPh sb="3" eb="5">
      <t>シュルイ</t>
    </rPh>
    <phoneticPr fontId="1"/>
  </si>
  <si>
    <t>給与所得の金額に
相当する額</t>
    <rPh sb="0" eb="2">
      <t>キュウヨ</t>
    </rPh>
    <rPh sb="2" eb="4">
      <t>ショトク</t>
    </rPh>
    <rPh sb="5" eb="7">
      <t>キンガク</t>
    </rPh>
    <rPh sb="9" eb="11">
      <t>ソウトウ</t>
    </rPh>
    <rPh sb="13" eb="14">
      <t>ガク</t>
    </rPh>
    <phoneticPr fontId="1"/>
  </si>
  <si>
    <t>給与所得控除後の給与等の金額に相当する額</t>
    <rPh sb="6" eb="7">
      <t>ゴ</t>
    </rPh>
    <rPh sb="8" eb="10">
      <t>キュウヨ</t>
    </rPh>
    <rPh sb="10" eb="11">
      <t>トウ</t>
    </rPh>
    <rPh sb="12" eb="14">
      <t>キンガク</t>
    </rPh>
    <rPh sb="15" eb="17">
      <t>ソウトウ</t>
    </rPh>
    <rPh sb="19" eb="20">
      <t>ガク</t>
    </rPh>
    <phoneticPr fontId="1"/>
  </si>
  <si>
    <t>給与収入</t>
    <rPh sb="0" eb="2">
      <t>キュウヨ</t>
    </rPh>
    <rPh sb="2" eb="4">
      <t>シュウニュウ</t>
    </rPh>
    <phoneticPr fontId="1"/>
  </si>
  <si>
    <t>率</t>
    <rPh sb="0" eb="1">
      <t>リツ</t>
    </rPh>
    <phoneticPr fontId="1"/>
  </si>
  <si>
    <t>-850万円</t>
    <rPh sb="4" eb="6">
      <t>マンエン</t>
    </rPh>
    <phoneticPr fontId="1"/>
  </si>
  <si>
    <t>給与所得控除後の給与等の金額に相当する額→</t>
    <phoneticPr fontId="1"/>
  </si>
  <si>
    <t>←該当の場合「はい」</t>
    <rPh sb="1" eb="3">
      <t>ガイトウ</t>
    </rPh>
    <rPh sb="4" eb="6">
      <t>バアイ</t>
    </rPh>
    <phoneticPr fontId="1"/>
  </si>
  <si>
    <t>-10万円</t>
    <rPh sb="3" eb="5">
      <t>マンエン</t>
    </rPh>
    <phoneticPr fontId="1"/>
  </si>
  <si>
    <t>（１）給与所得の金額に相当する額（給与所得控除及び所得金額調整控除後）</t>
    <rPh sb="3" eb="5">
      <t>キュウヨ</t>
    </rPh>
    <rPh sb="5" eb="7">
      <t>ショトク</t>
    </rPh>
    <rPh sb="8" eb="10">
      <t>キンガク</t>
    </rPh>
    <rPh sb="11" eb="13">
      <t>ソウトウ</t>
    </rPh>
    <rPh sb="15" eb="16">
      <t>ガク</t>
    </rPh>
    <rPh sb="17" eb="19">
      <t>キュウヨ</t>
    </rPh>
    <rPh sb="19" eb="21">
      <t>ショトク</t>
    </rPh>
    <rPh sb="21" eb="23">
      <t>コウジョ</t>
    </rPh>
    <rPh sb="23" eb="24">
      <t>オヨ</t>
    </rPh>
    <rPh sb="25" eb="27">
      <t>ショトク</t>
    </rPh>
    <rPh sb="27" eb="29">
      <t>キンガク</t>
    </rPh>
    <rPh sb="29" eb="31">
      <t>チョウセイ</t>
    </rPh>
    <rPh sb="31" eb="33">
      <t>コウジョ</t>
    </rPh>
    <rPh sb="33" eb="34">
      <t>ゴ</t>
    </rPh>
    <phoneticPr fontId="1"/>
  </si>
  <si>
    <t>①○○年金</t>
    <rPh sb="3" eb="5">
      <t>ネンキン</t>
    </rPh>
    <phoneticPr fontId="1"/>
  </si>
  <si>
    <t>②○○年金</t>
    <phoneticPr fontId="1"/>
  </si>
  <si>
    <t>③○○年金</t>
    <phoneticPr fontId="1"/>
  </si>
  <si>
    <t>④○○年金</t>
    <phoneticPr fontId="1"/>
  </si>
  <si>
    <t>（１）給与等収入金額（控除前）</t>
    <rPh sb="5" eb="6">
      <t>トウ</t>
    </rPh>
    <rPh sb="11" eb="13">
      <t>コウジョ</t>
    </rPh>
    <rPh sb="13" eb="14">
      <t>マエ</t>
    </rPh>
    <phoneticPr fontId="1"/>
  </si>
  <si>
    <t>（総表シートへ）</t>
    <rPh sb="1" eb="3">
      <t>ソウヒョウ</t>
    </rPh>
    <phoneticPr fontId="1"/>
  </si>
  <si>
    <t>（３）その他の所得に相当する額（経費控除後）</t>
    <rPh sb="5" eb="6">
      <t>タ</t>
    </rPh>
    <rPh sb="7" eb="9">
      <t>ショトク</t>
    </rPh>
    <rPh sb="10" eb="12">
      <t>ソウトウ</t>
    </rPh>
    <rPh sb="14" eb="15">
      <t>ガク</t>
    </rPh>
    <rPh sb="16" eb="18">
      <t>ケイヒ</t>
    </rPh>
    <rPh sb="18" eb="20">
      <t>コウジョ</t>
    </rPh>
    <rPh sb="20" eb="21">
      <t>ゴ</t>
    </rPh>
    <phoneticPr fontId="1"/>
  </si>
  <si>
    <t>端数調整前</t>
    <rPh sb="0" eb="2">
      <t>ハスウ</t>
    </rPh>
    <rPh sb="2" eb="5">
      <t>チョウセイマエ</t>
    </rPh>
    <phoneticPr fontId="1"/>
  </si>
  <si>
    <t>端数調整後</t>
    <rPh sb="0" eb="2">
      <t>ハスウ</t>
    </rPh>
    <rPh sb="2" eb="5">
      <t>チョウセイゴ</t>
    </rPh>
    <phoneticPr fontId="1"/>
  </si>
  <si>
    <t>rounddown(収入額/4,-3)×2.4+100,000円</t>
    <rPh sb="31" eb="32">
      <t>エン</t>
    </rPh>
    <phoneticPr fontId="1"/>
  </si>
  <si>
    <t>rounddown(収入額/4,-3)×2.8-80,000円</t>
    <rPh sb="30" eb="31">
      <t>エン</t>
    </rPh>
    <phoneticPr fontId="1"/>
  </si>
  <si>
    <t>rounddown(収入額/4,-3)×3.2-440,000円</t>
    <rPh sb="31" eb="32">
      <t>エン</t>
    </rPh>
    <phoneticPr fontId="1"/>
  </si>
  <si>
    <t>給与等の収入金額</t>
    <rPh sb="0" eb="2">
      <t>キュウヨ</t>
    </rPh>
    <rPh sb="2" eb="3">
      <t>トウ</t>
    </rPh>
    <rPh sb="4" eb="6">
      <t>シュウニュウ</t>
    </rPh>
    <rPh sb="6" eb="8">
      <t>キンガク</t>
    </rPh>
    <phoneticPr fontId="1"/>
  </si>
  <si>
    <t>給与所得控除後の給与等の金額に相当する額</t>
    <phoneticPr fontId="1"/>
  </si>
  <si>
    <t>↑</t>
    <phoneticPr fontId="1"/>
  </si>
  <si>
    <t>÷</t>
  </si>
  <si>
    <t>×</t>
  </si>
  <si>
    <t>判定</t>
    <rPh sb="0" eb="2">
      <t>ハンテイ</t>
    </rPh>
    <phoneticPr fontId="5"/>
  </si>
  <si>
    <t>給与所得控除額に相当する額→</t>
    <phoneticPr fontId="1"/>
  </si>
  <si>
    <t>控除等加減算</t>
    <rPh sb="0" eb="2">
      <t>コウジョ</t>
    </rPh>
    <rPh sb="2" eb="3">
      <t>トウ</t>
    </rPh>
    <rPh sb="3" eb="5">
      <t>カゲン</t>
    </rPh>
    <rPh sb="5" eb="6">
      <t>サン</t>
    </rPh>
    <phoneticPr fontId="5"/>
  </si>
  <si>
    <t>収入金額</t>
    <rPh sb="0" eb="2">
      <t>シュウニュウ</t>
    </rPh>
    <rPh sb="2" eb="4">
      <t>キンガク</t>
    </rPh>
    <phoneticPr fontId="1"/>
  </si>
  <si>
    <t>計算後</t>
    <rPh sb="0" eb="2">
      <t>ケイサン</t>
    </rPh>
    <rPh sb="2" eb="3">
      <t>ゴ</t>
    </rPh>
    <phoneticPr fontId="5"/>
  </si>
  <si>
    <t>収入金額</t>
    <rPh sb="0" eb="2">
      <t>シュウニュウ</t>
    </rPh>
    <rPh sb="2" eb="4">
      <t>キンガク</t>
    </rPh>
    <phoneticPr fontId="5"/>
  </si>
  <si>
    <t>加減算</t>
    <rPh sb="0" eb="3">
      <t>カゲンザン</t>
    </rPh>
    <phoneticPr fontId="5"/>
  </si>
  <si>
    <t>○公的年金等に係る雑所得以外の合計所得金額に相当する額の計算</t>
    <rPh sb="12" eb="14">
      <t>イガイ</t>
    </rPh>
    <rPh sb="15" eb="17">
      <t>ゴウケイ</t>
    </rPh>
    <rPh sb="17" eb="19">
      <t>ショトク</t>
    </rPh>
    <rPh sb="19" eb="21">
      <t>キンガク</t>
    </rPh>
    <rPh sb="22" eb="24">
      <t>ソウトウ</t>
    </rPh>
    <rPh sb="26" eb="27">
      <t>ガク</t>
    </rPh>
    <rPh sb="28" eb="30">
      <t>ケイサン</t>
    </rPh>
    <phoneticPr fontId="1"/>
  </si>
  <si>
    <t>※計算に当たってマイナスで記載</t>
    <rPh sb="1" eb="3">
      <t>ケイサン</t>
    </rPh>
    <rPh sb="4" eb="5">
      <t>ア</t>
    </rPh>
    <rPh sb="13" eb="15">
      <t>キサイ</t>
    </rPh>
    <phoneticPr fontId="1"/>
  </si>
  <si>
    <t>その他の所得に相当する額</t>
    <rPh sb="2" eb="3">
      <t>タ</t>
    </rPh>
    <rPh sb="4" eb="6">
      <t>ショトク</t>
    </rPh>
    <rPh sb="7" eb="9">
      <t>ソウトウ</t>
    </rPh>
    <rPh sb="11" eb="12">
      <t>ガク</t>
    </rPh>
    <phoneticPr fontId="1"/>
  </si>
  <si>
    <t>所得金額調整控除額に相当する額 ①</t>
    <rPh sb="8" eb="9">
      <t>ガク</t>
    </rPh>
    <rPh sb="10" eb="12">
      <t>ソウトウ</t>
    </rPh>
    <rPh sb="14" eb="15">
      <t>ガク</t>
    </rPh>
    <phoneticPr fontId="1"/>
  </si>
  <si>
    <t>年金以外</t>
    <rPh sb="0" eb="2">
      <t>ネンキン</t>
    </rPh>
    <rPh sb="2" eb="4">
      <t>イガイ</t>
    </rPh>
    <phoneticPr fontId="1"/>
  </si>
  <si>
    <t>←公的年金等に係る雑所得に相当する額の計算で使用します。以下の基準日を選択すると自動で表示されます。</t>
    <rPh sb="1" eb="3">
      <t>コウテキ</t>
    </rPh>
    <rPh sb="3" eb="5">
      <t>ネンキン</t>
    </rPh>
    <rPh sb="5" eb="6">
      <t>トウ</t>
    </rPh>
    <rPh sb="7" eb="8">
      <t>カカ</t>
    </rPh>
    <rPh sb="9" eb="12">
      <t>ザツショトク</t>
    </rPh>
    <rPh sb="13" eb="15">
      <t>ソウトウ</t>
    </rPh>
    <rPh sb="17" eb="18">
      <t>ガク</t>
    </rPh>
    <rPh sb="19" eb="21">
      <t>ケイサン</t>
    </rPh>
    <rPh sb="22" eb="24">
      <t>シヨウ</t>
    </rPh>
    <rPh sb="28" eb="30">
      <t>イカ</t>
    </rPh>
    <rPh sb="31" eb="34">
      <t>キジュンビ</t>
    </rPh>
    <rPh sb="35" eb="37">
      <t>センタク</t>
    </rPh>
    <rPh sb="40" eb="42">
      <t>ジドウ</t>
    </rPh>
    <rPh sb="43" eb="45">
      <t>ヒョウジ</t>
    </rPh>
    <phoneticPr fontId="1"/>
  </si>
  <si>
    <t>2023(令和5)年4月～2023(令和5)年6月支給分で適用する基準日です。</t>
    <rPh sb="5" eb="7">
      <t>レイワ</t>
    </rPh>
    <rPh sb="29" eb="31">
      <t>テキヨウ</t>
    </rPh>
    <rPh sb="33" eb="36">
      <t>キジュンビ</t>
    </rPh>
    <phoneticPr fontId="1"/>
  </si>
  <si>
    <t>2023(令和5)年7月～2024(令和6)年6月支給分で適用する基準日です。</t>
    <phoneticPr fontId="1"/>
  </si>
  <si>
    <t>2024(令和6)年7月～2025(令和7)年6月支給分で適用する基準日です。</t>
    <phoneticPr fontId="1"/>
  </si>
  <si>
    <t>基準日を選択してください→</t>
    <rPh sb="0" eb="3">
      <t>キジュンビ</t>
    </rPh>
    <rPh sb="4" eb="6">
      <t>センタク</t>
    </rPh>
    <phoneticPr fontId="1"/>
  </si>
  <si>
    <t>参考・確認用</t>
    <rPh sb="0" eb="2">
      <t>サンコウ</t>
    </rPh>
    <rPh sb="3" eb="6">
      <t>カクニンヨウ</t>
    </rPh>
    <phoneticPr fontId="1"/>
  </si>
  <si>
    <t>所得金額調整控除額に相当する額→</t>
    <phoneticPr fontId="1"/>
  </si>
  <si>
    <t>←公的年金等に係る雑所得以外の合計所得金額に相当する額</t>
    <phoneticPr fontId="1"/>
  </si>
  <si>
    <t>●給与所得の算定</t>
    <rPh sb="1" eb="3">
      <t>キュウヨ</t>
    </rPh>
    <rPh sb="3" eb="5">
      <t>ショトク</t>
    </rPh>
    <rPh sb="6" eb="8">
      <t>サンテイ</t>
    </rPh>
    <phoneticPr fontId="5"/>
  </si>
  <si>
    <t>↑850万円を超えると1,000万円を上限に数値が表示される</t>
    <rPh sb="4" eb="6">
      <t>マンエン</t>
    </rPh>
    <rPh sb="7" eb="8">
      <t>コ</t>
    </rPh>
    <rPh sb="16" eb="18">
      <t>マンエン</t>
    </rPh>
    <rPh sb="19" eb="21">
      <t>ジョウゲン</t>
    </rPh>
    <rPh sb="22" eb="24">
      <t>スウチ</t>
    </rPh>
    <rPh sb="25" eb="27">
      <t>ヒョウジ</t>
    </rPh>
    <phoneticPr fontId="1"/>
  </si>
  <si>
    <t>公的年金等に係る雑所得以外の合計所得金額に相当する額</t>
    <phoneticPr fontId="1"/>
  </si>
  <si>
    <t>(参考)</t>
    <rPh sb="1" eb="3">
      <t>サンコウ</t>
    </rPh>
    <phoneticPr fontId="1"/>
  </si>
  <si>
    <t>　所得金額調整控除額に相当する額 ①</t>
    <rPh sb="9" eb="10">
      <t>ガク</t>
    </rPh>
    <rPh sb="11" eb="13">
      <t>ソウトウ</t>
    </rPh>
    <rPh sb="15" eb="16">
      <t>ガク</t>
    </rPh>
    <phoneticPr fontId="1"/>
  </si>
  <si>
    <t>　　→子ども・特別障害者等を有する者等の所得金額調整控除（年収850万円超の方）</t>
    <phoneticPr fontId="1"/>
  </si>
  <si>
    <t>　所得金額調整控除額に相当する額 ②</t>
    <rPh sb="9" eb="10">
      <t>ガク</t>
    </rPh>
    <rPh sb="11" eb="13">
      <t>ソウトウ</t>
    </rPh>
    <rPh sb="15" eb="16">
      <t>ガク</t>
    </rPh>
    <phoneticPr fontId="1"/>
  </si>
  <si>
    <t>　　→給与所得と年金所得の双方を有する者に対する所得金額調整控除</t>
    <phoneticPr fontId="1"/>
  </si>
  <si>
    <t>○所得～2,000円万</t>
    <rPh sb="1" eb="3">
      <t>ショトク</t>
    </rPh>
    <rPh sb="10" eb="11">
      <t>マン</t>
    </rPh>
    <phoneticPr fontId="5"/>
  </si>
  <si>
    <t>○所得～2,000万円</t>
    <rPh sb="1" eb="3">
      <t>ショトク</t>
    </rPh>
    <rPh sb="9" eb="10">
      <t>マン</t>
    </rPh>
    <rPh sb="10" eb="11">
      <t>エン</t>
    </rPh>
    <phoneticPr fontId="5"/>
  </si>
  <si>
    <t>○所得2,000万円超</t>
    <rPh sb="1" eb="3">
      <t>ショトク</t>
    </rPh>
    <rPh sb="8" eb="9">
      <t>マン</t>
    </rPh>
    <rPh sb="10" eb="11">
      <t>コ</t>
    </rPh>
    <phoneticPr fontId="5"/>
  </si>
  <si>
    <t>○65歳以上、所得～1,000万円</t>
    <rPh sb="3" eb="4">
      <t>サイ</t>
    </rPh>
    <rPh sb="4" eb="6">
      <t>イジョウ</t>
    </rPh>
    <rPh sb="7" eb="9">
      <t>ショトク</t>
    </rPh>
    <rPh sb="15" eb="16">
      <t>マン</t>
    </rPh>
    <rPh sb="16" eb="17">
      <t>エン</t>
    </rPh>
    <phoneticPr fontId="5"/>
  </si>
  <si>
    <t>○65歳未満、所得～1,000万円</t>
    <rPh sb="3" eb="4">
      <t>サイ</t>
    </rPh>
    <rPh sb="4" eb="6">
      <t>ミマン</t>
    </rPh>
    <rPh sb="7" eb="9">
      <t>ショトク</t>
    </rPh>
    <rPh sb="15" eb="16">
      <t>マン</t>
    </rPh>
    <rPh sb="16" eb="17">
      <t>エン</t>
    </rPh>
    <phoneticPr fontId="5"/>
  </si>
  <si>
    <t>（月例給）</t>
    <rPh sb="1" eb="3">
      <t>ゲツレイ</t>
    </rPh>
    <rPh sb="3" eb="4">
      <t>キュウ</t>
    </rPh>
    <phoneticPr fontId="1"/>
  </si>
  <si>
    <t>勤務先①：（株）○○○○</t>
    <rPh sb="0" eb="3">
      <t>キンムサキ</t>
    </rPh>
    <rPh sb="6" eb="7">
      <t>カブ</t>
    </rPh>
    <phoneticPr fontId="1"/>
  </si>
  <si>
    <t>離職等の後に再就職等していない場合であって、当該期間における課税所得に該当する収入が一切ない場合は、右欄に「✓」を付してください。この場合、別紙の提出は不要です。</t>
    <rPh sb="15" eb="17">
      <t>バアイ</t>
    </rPh>
    <rPh sb="42" eb="44">
      <t>イッサイ</t>
    </rPh>
    <rPh sb="50" eb="52">
      <t>ウラン</t>
    </rPh>
    <rPh sb="57" eb="58">
      <t>フ</t>
    </rPh>
    <rPh sb="67" eb="69">
      <t>バアイ</t>
    </rPh>
    <rPh sb="70" eb="72">
      <t>ベッシ</t>
    </rPh>
    <rPh sb="73" eb="75">
      <t>テイシュツ</t>
    </rPh>
    <rPh sb="76" eb="78">
      <t>フヨウ</t>
    </rPh>
    <phoneticPr fontId="1"/>
  </si>
  <si>
    <t>②不動産所得</t>
    <rPh sb="1" eb="4">
      <t>フドウサン</t>
    </rPh>
    <rPh sb="4" eb="6">
      <t>ショトク</t>
    </rPh>
    <phoneticPr fontId="1"/>
  </si>
  <si>
    <t>①事業所得</t>
    <rPh sb="1" eb="3">
      <t>ジギョウ</t>
    </rPh>
    <phoneticPr fontId="1"/>
  </si>
  <si>
    <t>③利子所得</t>
    <rPh sb="1" eb="5">
      <t>リシショトク</t>
    </rPh>
    <phoneticPr fontId="1"/>
  </si>
  <si>
    <t>④配当所得</t>
    <rPh sb="1" eb="5">
      <t>ハイトウショトク</t>
    </rPh>
    <phoneticPr fontId="1"/>
  </si>
  <si>
    <t>⑤業務に係る雑所得</t>
    <rPh sb="1" eb="3">
      <t>ギョウム</t>
    </rPh>
    <rPh sb="4" eb="5">
      <t>カカ</t>
    </rPh>
    <rPh sb="6" eb="9">
      <t>ザツショトク</t>
    </rPh>
    <phoneticPr fontId="1"/>
  </si>
  <si>
    <t>⑥その他の雑所得</t>
    <rPh sb="3" eb="4">
      <t>タ</t>
    </rPh>
    <rPh sb="5" eb="8">
      <t>ザツショトク</t>
    </rPh>
    <phoneticPr fontId="1"/>
  </si>
  <si>
    <t>⑦譲渡所得</t>
    <rPh sb="1" eb="3">
      <t>ジョウト</t>
    </rPh>
    <rPh sb="3" eb="5">
      <t>ショトク</t>
    </rPh>
    <phoneticPr fontId="1"/>
  </si>
  <si>
    <t>⑧一時所得</t>
    <rPh sb="1" eb="3">
      <t>イチジ</t>
    </rPh>
    <rPh sb="3" eb="5">
      <t>ショトク</t>
    </rPh>
    <phoneticPr fontId="1"/>
  </si>
  <si>
    <t>⑨山林所得</t>
    <rPh sb="1" eb="3">
      <t>サンリン</t>
    </rPh>
    <rPh sb="3" eb="5">
      <t>ショトク</t>
    </rPh>
    <phoneticPr fontId="1"/>
  </si>
  <si>
    <t>　この様式は、給与所得・公的年金等に係る雑所得以外のその他の所得がある者のうち、別紙３において一時的な所得があると申告する場合に使用するものです。対象者は、この様式とともに、金額が確認できる書類の写しを提出してください。</t>
    <rPh sb="3" eb="5">
      <t>ヨウシキ</t>
    </rPh>
    <rPh sb="7" eb="9">
      <t>キュウヨ</t>
    </rPh>
    <rPh sb="9" eb="11">
      <t>ショトク</t>
    </rPh>
    <rPh sb="12" eb="14">
      <t>コウテキ</t>
    </rPh>
    <rPh sb="14" eb="16">
      <t>ネンキン</t>
    </rPh>
    <rPh sb="16" eb="17">
      <t>トウ</t>
    </rPh>
    <rPh sb="18" eb="19">
      <t>カカ</t>
    </rPh>
    <rPh sb="20" eb="21">
      <t>ザツ</t>
    </rPh>
    <rPh sb="21" eb="23">
      <t>ショトク</t>
    </rPh>
    <rPh sb="23" eb="25">
      <t>イガイ</t>
    </rPh>
    <rPh sb="28" eb="29">
      <t>タ</t>
    </rPh>
    <rPh sb="30" eb="32">
      <t>ショトク</t>
    </rPh>
    <rPh sb="35" eb="36">
      <t>モノ</t>
    </rPh>
    <rPh sb="40" eb="42">
      <t>ベッシ</t>
    </rPh>
    <rPh sb="47" eb="50">
      <t>イチジテキ</t>
    </rPh>
    <rPh sb="51" eb="53">
      <t>ショトク</t>
    </rPh>
    <rPh sb="57" eb="59">
      <t>シンコク</t>
    </rPh>
    <rPh sb="82" eb="84">
      <t>キンガク</t>
    </rPh>
    <rPh sb="85" eb="87">
      <t>カクニン</t>
    </rPh>
    <rPh sb="90" eb="92">
      <t>ショルイ</t>
    </rPh>
    <phoneticPr fontId="1"/>
  </si>
  <si>
    <t>勤務先①：（株）○○○○</t>
    <rPh sb="0" eb="3">
      <t>キンムサキ</t>
    </rPh>
    <phoneticPr fontId="1"/>
  </si>
  <si>
    <t>※上記月例給がある場合で、当該期間における賞与の支給がない場合は、右欄に「✓」を付してください。この場合、下記賞与欄については、記載の必要はありません。</t>
    <rPh sb="5" eb="7">
      <t>ジョウキ</t>
    </rPh>
    <rPh sb="7" eb="9">
      <t>ゲツレイ</t>
    </rPh>
    <rPh sb="9" eb="10">
      <t>キュウ</t>
    </rPh>
    <rPh sb="13" eb="15">
      <t>バアイ</t>
    </rPh>
    <rPh sb="17" eb="19">
      <t>トウガイ</t>
    </rPh>
    <rPh sb="50" eb="52">
      <t>バアイ</t>
    </rPh>
    <rPh sb="53" eb="55">
      <t>カキ</t>
    </rPh>
    <rPh sb="55" eb="57">
      <t>ショウヨ</t>
    </rPh>
    <rPh sb="57" eb="58">
      <t>ラン</t>
    </rPh>
    <rPh sb="64" eb="66">
      <t>キサイ</t>
    </rPh>
    <rPh sb="67" eb="69">
      <t>ヒツヨウ</t>
    </rPh>
    <phoneticPr fontId="1"/>
  </si>
  <si>
    <t>⑥</t>
    <phoneticPr fontId="1"/>
  </si>
  <si>
    <t>⑦</t>
    <phoneticPr fontId="1"/>
  </si>
  <si>
    <t>⑧</t>
    <phoneticPr fontId="1"/>
  </si>
  <si>
    <t>～一時的な所得に関する計算書～</t>
    <rPh sb="1" eb="4">
      <t>イチジテキ</t>
    </rPh>
    <rPh sb="5" eb="7">
      <t>ショトク</t>
    </rPh>
    <rPh sb="8" eb="9">
      <t>カン</t>
    </rPh>
    <rPh sb="11" eb="14">
      <t>ケイサンショ</t>
    </rPh>
    <phoneticPr fontId="1"/>
  </si>
  <si>
    <t>家計急変事
由発生日：</t>
    <rPh sb="0" eb="2">
      <t>カケイ</t>
    </rPh>
    <rPh sb="2" eb="4">
      <t>キュウヘン</t>
    </rPh>
    <rPh sb="4" eb="5">
      <t>ゴト</t>
    </rPh>
    <rPh sb="6" eb="7">
      <t>ヨシ</t>
    </rPh>
    <rPh sb="7" eb="9">
      <t>ハッセイ</t>
    </rPh>
    <rPh sb="9" eb="10">
      <t>ビ</t>
    </rPh>
    <rPh sb="10" eb="11">
      <t>ネンガッピ</t>
    </rPh>
    <phoneticPr fontId="1"/>
  </si>
  <si>
    <r>
      <t xml:space="preserve">売　上
</t>
    </r>
    <r>
      <rPr>
        <sz val="12"/>
        <rFont val="游ゴシック"/>
        <family val="3"/>
        <charset val="128"/>
        <scheme val="minor"/>
      </rPr>
      <t>（収入・譲渡価格）</t>
    </r>
    <rPh sb="0" eb="1">
      <t>バイ</t>
    </rPh>
    <rPh sb="2" eb="3">
      <t>ウエ</t>
    </rPh>
    <rPh sb="5" eb="6">
      <t>オサム</t>
    </rPh>
    <rPh sb="6" eb="7">
      <t>イ</t>
    </rPh>
    <rPh sb="8" eb="10">
      <t>ジョウト</t>
    </rPh>
    <rPh sb="10" eb="12">
      <t>カカク</t>
    </rPh>
    <phoneticPr fontId="1"/>
  </si>
  <si>
    <r>
      <rPr>
        <sz val="14"/>
        <rFont val="游ゴシック"/>
        <family val="3"/>
        <charset val="128"/>
        <scheme val="minor"/>
      </rPr>
      <t>所　得</t>
    </r>
    <r>
      <rPr>
        <sz val="12"/>
        <rFont val="游ゴシック"/>
        <family val="3"/>
        <charset val="128"/>
        <scheme val="minor"/>
      </rPr>
      <t xml:space="preserve">
（売上－経費）</t>
    </r>
    <rPh sb="0" eb="1">
      <t>ショ</t>
    </rPh>
    <rPh sb="2" eb="3">
      <t>トク</t>
    </rPh>
    <phoneticPr fontId="1"/>
  </si>
  <si>
    <t>～恒常的な所得に関する計算書～</t>
    <rPh sb="1" eb="3">
      <t>コウジョウ</t>
    </rPh>
    <rPh sb="3" eb="4">
      <t>テキ</t>
    </rPh>
    <rPh sb="5" eb="7">
      <t>ショトク</t>
    </rPh>
    <rPh sb="8" eb="9">
      <t>カン</t>
    </rPh>
    <rPh sb="11" eb="14">
      <t>ケイサンショ</t>
    </rPh>
    <phoneticPr fontId="1"/>
  </si>
  <si>
    <t>　この様式は、自営業等である保護者等に家計急変事由が生じ、家計急変支援の審査を行うにあたり収入証明書類として帳簿を提出する際に使用するものです（山林所得を除く）。対象者は、この様式とともに、帳簿の写しを提出してください。
　上記のほか、恒常的な所得がある場合についても、この様式とともに、金額が確認できる書類の写しを提出してください。</t>
    <rPh sb="3" eb="5">
      <t>ヨウシキ</t>
    </rPh>
    <rPh sb="7" eb="10">
      <t>ジエイギョウ</t>
    </rPh>
    <rPh sb="10" eb="11">
      <t>トウ</t>
    </rPh>
    <rPh sb="14" eb="17">
      <t>ホゴシャ</t>
    </rPh>
    <rPh sb="17" eb="18">
      <t>トウ</t>
    </rPh>
    <rPh sb="19" eb="21">
      <t>カケイ</t>
    </rPh>
    <rPh sb="21" eb="23">
      <t>キュウヘン</t>
    </rPh>
    <rPh sb="23" eb="25">
      <t>ジユウ</t>
    </rPh>
    <rPh sb="26" eb="27">
      <t>ショウ</t>
    </rPh>
    <rPh sb="29" eb="31">
      <t>カケイ</t>
    </rPh>
    <rPh sb="31" eb="33">
      <t>キュウヘン</t>
    </rPh>
    <rPh sb="33" eb="35">
      <t>シエン</t>
    </rPh>
    <rPh sb="36" eb="38">
      <t>シンサ</t>
    </rPh>
    <rPh sb="39" eb="40">
      <t>オコナ</t>
    </rPh>
    <rPh sb="45" eb="47">
      <t>シュウニュウ</t>
    </rPh>
    <rPh sb="47" eb="49">
      <t>ショウメイ</t>
    </rPh>
    <rPh sb="49" eb="51">
      <t>ショルイ</t>
    </rPh>
    <rPh sb="54" eb="56">
      <t>チョウボ</t>
    </rPh>
    <rPh sb="57" eb="59">
      <t>テイシュツ</t>
    </rPh>
    <rPh sb="61" eb="62">
      <t>サイ</t>
    </rPh>
    <rPh sb="63" eb="65">
      <t>シヨウ</t>
    </rPh>
    <rPh sb="72" eb="76">
      <t>サンリンショトク</t>
    </rPh>
    <rPh sb="77" eb="78">
      <t>ノゾ</t>
    </rPh>
    <rPh sb="112" eb="114">
      <t>ジョウキ</t>
    </rPh>
    <phoneticPr fontId="1"/>
  </si>
  <si>
    <r>
      <t xml:space="preserve">売　上
</t>
    </r>
    <r>
      <rPr>
        <sz val="12"/>
        <rFont val="游ゴシック"/>
        <family val="3"/>
        <charset val="128"/>
        <scheme val="minor"/>
      </rPr>
      <t>（収入）</t>
    </r>
    <rPh sb="0" eb="1">
      <t>バイ</t>
    </rPh>
    <rPh sb="2" eb="3">
      <t>ウエ</t>
    </rPh>
    <rPh sb="5" eb="7">
      <t>シュウニュウ</t>
    </rPh>
    <phoneticPr fontId="1"/>
  </si>
  <si>
    <r>
      <t xml:space="preserve">所　得
</t>
    </r>
    <r>
      <rPr>
        <sz val="12"/>
        <rFont val="游ゴシック"/>
        <family val="3"/>
        <charset val="128"/>
        <scheme val="minor"/>
      </rPr>
      <t>（売上－経費）</t>
    </r>
    <rPh sb="0" eb="1">
      <t>ショ</t>
    </rPh>
    <rPh sb="2" eb="3">
      <t>トク</t>
    </rPh>
    <phoneticPr fontId="1"/>
  </si>
  <si>
    <t>家計急変事由発生日</t>
    <rPh sb="0" eb="2">
      <t>カケイ</t>
    </rPh>
    <rPh sb="2" eb="4">
      <t>キュウヘン</t>
    </rPh>
    <rPh sb="4" eb="6">
      <t>ジユウ</t>
    </rPh>
    <rPh sb="6" eb="8">
      <t>ハッセイ</t>
    </rPh>
    <rPh sb="8" eb="9">
      <t>ネンガッピ</t>
    </rPh>
    <phoneticPr fontId="1"/>
  </si>
  <si>
    <r>
      <rPr>
        <b/>
        <sz val="10"/>
        <rFont val="游ゴシック"/>
        <family val="3"/>
        <charset val="128"/>
        <scheme val="minor"/>
      </rPr>
      <t>（（１）の年間換算額が850万円を上回る場合のみ右欄から選択してください）</t>
    </r>
    <r>
      <rPr>
        <sz val="10"/>
        <rFont val="游ゴシック"/>
        <family val="3"/>
        <charset val="128"/>
        <scheme val="minor"/>
      </rPr>
      <t>家計急変者、同一生計配偶者、若しくは扶養親族のいずれかが特別障害者である、又は23歳未満の扶養親族がいる</t>
    </r>
    <rPh sb="5" eb="7">
      <t>ネンカン</t>
    </rPh>
    <rPh sb="7" eb="10">
      <t>カンサンガク</t>
    </rPh>
    <rPh sb="14" eb="15">
      <t>マン</t>
    </rPh>
    <rPh sb="15" eb="16">
      <t>エン</t>
    </rPh>
    <rPh sb="17" eb="19">
      <t>ウワマワ</t>
    </rPh>
    <rPh sb="20" eb="22">
      <t>バアイ</t>
    </rPh>
    <rPh sb="24" eb="26">
      <t>ウラン</t>
    </rPh>
    <rPh sb="28" eb="30">
      <t>センタク</t>
    </rPh>
    <rPh sb="37" eb="39">
      <t>カケイ</t>
    </rPh>
    <rPh sb="39" eb="41">
      <t>キュウヘン</t>
    </rPh>
    <rPh sb="41" eb="42">
      <t>シャ</t>
    </rPh>
    <rPh sb="43" eb="45">
      <t>ドウイツ</t>
    </rPh>
    <rPh sb="45" eb="47">
      <t>セイケイ</t>
    </rPh>
    <rPh sb="47" eb="50">
      <t>ハイグウシャ</t>
    </rPh>
    <rPh sb="51" eb="52">
      <t>モ</t>
    </rPh>
    <rPh sb="55" eb="57">
      <t>フヨウ</t>
    </rPh>
    <rPh sb="57" eb="59">
      <t>シンゾク</t>
    </rPh>
    <rPh sb="65" eb="67">
      <t>トクベツ</t>
    </rPh>
    <rPh sb="67" eb="70">
      <t>ショウガイシャ</t>
    </rPh>
    <rPh sb="74" eb="75">
      <t>マタ</t>
    </rPh>
    <rPh sb="78" eb="79">
      <t>サイ</t>
    </rPh>
    <rPh sb="79" eb="81">
      <t>ミマン</t>
    </rPh>
    <rPh sb="82" eb="84">
      <t>フヨウ</t>
    </rPh>
    <rPh sb="84" eb="86">
      <t>シンゾク</t>
    </rPh>
    <phoneticPr fontId="1"/>
  </si>
  <si>
    <t>○高等学校等就学支援金（家計急変支援制度）における年収推計シート（総表）</t>
    <rPh sb="16" eb="18">
      <t>シエン</t>
    </rPh>
    <rPh sb="18" eb="20">
      <t>セイド</t>
    </rPh>
    <rPh sb="27" eb="29">
      <t>スイケイ</t>
    </rPh>
    <rPh sb="33" eb="34">
      <t>ソウ</t>
    </rPh>
    <rPh sb="34" eb="35">
      <t>ヒョウ</t>
    </rPh>
    <phoneticPr fontId="1"/>
  </si>
  <si>
    <t>○高等学校等就学支援金（家計急変支援制度）における年収推計シート（別紙１）</t>
    <rPh sb="1" eb="3">
      <t>コウトウ</t>
    </rPh>
    <rPh sb="3" eb="5">
      <t>ガッコウ</t>
    </rPh>
    <rPh sb="5" eb="6">
      <t>トウ</t>
    </rPh>
    <rPh sb="6" eb="8">
      <t>シュウガク</t>
    </rPh>
    <rPh sb="8" eb="10">
      <t>シエン</t>
    </rPh>
    <rPh sb="10" eb="11">
      <t>キン</t>
    </rPh>
    <rPh sb="12" eb="14">
      <t>カケイ</t>
    </rPh>
    <rPh sb="14" eb="16">
      <t>キュウヘン</t>
    </rPh>
    <rPh sb="16" eb="18">
      <t>シエン</t>
    </rPh>
    <rPh sb="18" eb="20">
      <t>セイド</t>
    </rPh>
    <rPh sb="25" eb="27">
      <t>ネンシュウ</t>
    </rPh>
    <rPh sb="27" eb="29">
      <t>スイケイ</t>
    </rPh>
    <rPh sb="33" eb="35">
      <t>ベッシ</t>
    </rPh>
    <phoneticPr fontId="1"/>
  </si>
  <si>
    <t>○高等学校等就学支援金（家計急変支援制度）における年収推計シート（別紙２）</t>
    <rPh sb="1" eb="3">
      <t>コウトウ</t>
    </rPh>
    <rPh sb="3" eb="5">
      <t>ガッコウ</t>
    </rPh>
    <rPh sb="5" eb="6">
      <t>トウ</t>
    </rPh>
    <rPh sb="6" eb="8">
      <t>シュウガク</t>
    </rPh>
    <rPh sb="8" eb="10">
      <t>シエン</t>
    </rPh>
    <rPh sb="10" eb="11">
      <t>キン</t>
    </rPh>
    <rPh sb="12" eb="14">
      <t>カケイ</t>
    </rPh>
    <rPh sb="14" eb="16">
      <t>キュウヘン</t>
    </rPh>
    <rPh sb="16" eb="18">
      <t>シエン</t>
    </rPh>
    <rPh sb="18" eb="20">
      <t>セイド</t>
    </rPh>
    <rPh sb="25" eb="27">
      <t>ネンシュウ</t>
    </rPh>
    <rPh sb="27" eb="29">
      <t>スイケイ</t>
    </rPh>
    <rPh sb="33" eb="35">
      <t>ベッシ</t>
    </rPh>
    <phoneticPr fontId="1"/>
  </si>
  <si>
    <t>○高等学校等就学支援金（家計急変支援制度）における年収推計シート（別紙３）</t>
    <rPh sb="1" eb="3">
      <t>コウトウ</t>
    </rPh>
    <rPh sb="3" eb="5">
      <t>ガッコウ</t>
    </rPh>
    <rPh sb="5" eb="6">
      <t>トウ</t>
    </rPh>
    <rPh sb="6" eb="8">
      <t>シュウガク</t>
    </rPh>
    <rPh sb="8" eb="10">
      <t>シエン</t>
    </rPh>
    <rPh sb="10" eb="11">
      <t>キン</t>
    </rPh>
    <rPh sb="12" eb="14">
      <t>カケイ</t>
    </rPh>
    <rPh sb="14" eb="16">
      <t>キュウヘン</t>
    </rPh>
    <rPh sb="16" eb="18">
      <t>シエン</t>
    </rPh>
    <rPh sb="18" eb="20">
      <t>セイド</t>
    </rPh>
    <rPh sb="25" eb="27">
      <t>ネンシュウ</t>
    </rPh>
    <rPh sb="27" eb="29">
      <t>スイケイ</t>
    </rPh>
    <rPh sb="30" eb="32">
      <t>ベッシ</t>
    </rPh>
    <phoneticPr fontId="1"/>
  </si>
  <si>
    <t>○高等学校等就学支援金（家計急変支援制度）における年収推計シート（別紙３-１）</t>
    <rPh sb="1" eb="3">
      <t>コウトウ</t>
    </rPh>
    <rPh sb="3" eb="5">
      <t>ガッコウ</t>
    </rPh>
    <rPh sb="5" eb="6">
      <t>トウ</t>
    </rPh>
    <rPh sb="6" eb="8">
      <t>シュウガク</t>
    </rPh>
    <rPh sb="8" eb="10">
      <t>シエン</t>
    </rPh>
    <rPh sb="10" eb="11">
      <t>キン</t>
    </rPh>
    <rPh sb="12" eb="14">
      <t>カケイ</t>
    </rPh>
    <rPh sb="14" eb="16">
      <t>キュウヘン</t>
    </rPh>
    <rPh sb="16" eb="18">
      <t>シエン</t>
    </rPh>
    <rPh sb="18" eb="20">
      <t>セイド</t>
    </rPh>
    <rPh sb="25" eb="27">
      <t>ネンシュウ</t>
    </rPh>
    <rPh sb="27" eb="29">
      <t>スイケイ</t>
    </rPh>
    <rPh sb="33" eb="35">
      <t>ベッシ</t>
    </rPh>
    <phoneticPr fontId="1"/>
  </si>
  <si>
    <t>○高等学校等就学支援金（家計急変支援制度）における年収推計シート（別紙３-２）</t>
    <rPh sb="1" eb="3">
      <t>コウトウ</t>
    </rPh>
    <rPh sb="3" eb="5">
      <t>ガッコウ</t>
    </rPh>
    <rPh sb="5" eb="6">
      <t>トウ</t>
    </rPh>
    <rPh sb="6" eb="8">
      <t>シュウガク</t>
    </rPh>
    <rPh sb="8" eb="10">
      <t>シエン</t>
    </rPh>
    <rPh sb="10" eb="11">
      <t>キン</t>
    </rPh>
    <rPh sb="12" eb="14">
      <t>カケイ</t>
    </rPh>
    <rPh sb="14" eb="16">
      <t>キュウヘン</t>
    </rPh>
    <rPh sb="16" eb="18">
      <t>シエン</t>
    </rPh>
    <rPh sb="18" eb="20">
      <t>セイド</t>
    </rPh>
    <rPh sb="25" eb="27">
      <t>ネンシュウ</t>
    </rPh>
    <rPh sb="27" eb="29">
      <t>スイケイ</t>
    </rPh>
    <rPh sb="33" eb="35">
      <t>ベッシ</t>
    </rPh>
    <phoneticPr fontId="1"/>
  </si>
  <si>
    <r>
      <t xml:space="preserve">経　費
</t>
    </r>
    <r>
      <rPr>
        <sz val="12"/>
        <rFont val="游ゴシック"/>
        <family val="3"/>
        <charset val="128"/>
        <scheme val="minor"/>
      </rPr>
      <t>（取得費及び譲渡費用）</t>
    </r>
    <rPh sb="0" eb="1">
      <t>ヘ</t>
    </rPh>
    <rPh sb="2" eb="3">
      <t>ヒ</t>
    </rPh>
    <rPh sb="5" eb="8">
      <t>シュトクヒ</t>
    </rPh>
    <rPh sb="8" eb="9">
      <t>オヨ</t>
    </rPh>
    <rPh sb="10" eb="14">
      <t>ジョウトヒヨウ</t>
    </rPh>
    <phoneticPr fontId="1"/>
  </si>
  <si>
    <t>2025(令和7)年7月～2026(令和8)年6月支給分で適用する基準日です。</t>
    <phoneticPr fontId="1"/>
  </si>
  <si>
    <t>2027(令和9)年7月～2028(令和10)年6月支給分で適用する基準日です。</t>
    <phoneticPr fontId="1"/>
  </si>
  <si>
    <t>2028(令和10)年7月～2029(令和11)年6月支給分で適用する基準日です。</t>
    <phoneticPr fontId="1"/>
  </si>
  <si>
    <t>2029(令和11)年7月～2030(令和12)年6月支給分で適用する基準日です。</t>
    <phoneticPr fontId="1"/>
  </si>
  <si>
    <t>2030(令和12)年7月～2031(令和13)年6月支給分で適用する基準日です。</t>
    <phoneticPr fontId="1"/>
  </si>
  <si>
    <t>2026(令和8)年7月～2027(令和9)年6月支給分で適用する基準日です。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</si>
</sst>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 &quot;#,##0"/>
    <numFmt numFmtId="177" formatCode="&quot;×&quot;General"/>
    <numFmt numFmtId="178" formatCode="#,##0_ ;[Red]\-#,##0\ "/>
    <numFmt numFmtId="179" formatCode="#,##0&quot;円&quot;;&quot;▲ &quot;#,##0&quot;円&quot;"/>
    <numFmt numFmtId="180" formatCode="yyyy/m;@"/>
    <numFmt numFmtId="181" formatCode="\(\ 0&quot;か&quot;&quot;月&quot;&quot;分&quot;\)"/>
    <numFmt numFmtId="182" formatCode="#,##0&quot;回&quot;;&quot;▲ &quot;#,##0&quot;回&quot;"/>
    <numFmt numFmtId="183" formatCode="\(0&quot;か月分&quot;\)"/>
    <numFmt numFmtId="184" formatCode="yyyy/m"/>
    <numFmt numFmtId="185" formatCode="yyyy&quot;年&quot;"/>
    <numFmt numFmtId="186" formatCode="m&quot;月&quot;&quot;分&quot;"/>
    <numFmt numFmtId="187" formatCode="yyyy&quot;年&quot;\ \ m&quot;月&quot;&quot;分&quot;"/>
  </numFmts>
  <fonts count="29">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name val="游ゴシック"/>
      <family val="3"/>
      <charset val="128"/>
      <scheme val="minor"/>
    </font>
    <font>
      <sz val="6"/>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6"/>
      <color theme="1"/>
      <name val="游ゴシック"/>
      <family val="3"/>
      <charset val="128"/>
      <scheme val="minor"/>
    </font>
    <font>
      <b/>
      <u/>
      <sz val="18"/>
      <color theme="1"/>
      <name val="游ゴシック"/>
      <family val="3"/>
      <charset val="128"/>
      <scheme val="minor"/>
    </font>
    <font>
      <sz val="16"/>
      <color theme="1"/>
      <name val="游ゴシック"/>
      <family val="2"/>
      <charset val="128"/>
      <scheme val="minor"/>
    </font>
    <font>
      <sz val="10"/>
      <color theme="1"/>
      <name val="游ゴシック"/>
      <family val="2"/>
      <charset val="128"/>
      <scheme val="minor"/>
    </font>
    <font>
      <sz val="11"/>
      <color theme="1"/>
      <name val="游ゴシック"/>
      <family val="3"/>
      <charset val="128"/>
      <scheme val="minor"/>
    </font>
    <font>
      <sz val="9"/>
      <color indexed="81"/>
      <name val="MS P ゴシック"/>
      <family val="3"/>
      <charset val="128"/>
    </font>
    <font>
      <sz val="10.5"/>
      <color theme="1"/>
      <name val="游ゴシック"/>
      <family val="3"/>
      <charset val="128"/>
      <scheme val="minor"/>
    </font>
    <font>
      <sz val="14"/>
      <name val="游ゴシック"/>
      <family val="3"/>
      <charset val="128"/>
      <scheme val="minor"/>
    </font>
    <font>
      <sz val="10"/>
      <name val="游ゴシック"/>
      <family val="3"/>
      <charset val="128"/>
      <scheme val="minor"/>
    </font>
    <font>
      <sz val="13"/>
      <color theme="1"/>
      <name val="游ゴシック"/>
      <family val="3"/>
      <charset val="128"/>
      <scheme val="minor"/>
    </font>
    <font>
      <b/>
      <u/>
      <sz val="18"/>
      <name val="游ゴシック"/>
      <family val="3"/>
      <charset val="128"/>
      <scheme val="minor"/>
    </font>
    <font>
      <sz val="13"/>
      <name val="游ゴシック"/>
      <family val="3"/>
      <charset val="128"/>
      <scheme val="minor"/>
    </font>
    <font>
      <sz val="12"/>
      <name val="游ゴシック"/>
      <family val="3"/>
      <charset val="128"/>
      <scheme val="minor"/>
    </font>
    <font>
      <sz val="22"/>
      <name val="游ゴシック"/>
      <family val="3"/>
      <charset val="128"/>
      <scheme val="minor"/>
    </font>
    <font>
      <b/>
      <sz val="10"/>
      <name val="游ゴシック"/>
      <family val="3"/>
      <charset val="128"/>
      <scheme val="minor"/>
    </font>
    <font>
      <sz val="20"/>
      <name val="游ゴシック"/>
      <family val="3"/>
      <charset val="128"/>
      <scheme val="minor"/>
    </font>
    <font>
      <sz val="8"/>
      <name val="游ゴシック"/>
      <family val="3"/>
      <charset val="128"/>
      <scheme val="minor"/>
    </font>
    <font>
      <b/>
      <sz val="11"/>
      <color rgb="FFFF0000"/>
      <name val="游ゴシック"/>
      <family val="3"/>
      <charset val="128"/>
      <scheme val="minor"/>
    </font>
    <font>
      <b/>
      <sz val="1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theme="0" tint="-4.9989318521683403E-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4" fillId="0" borderId="0"/>
    <xf numFmtId="0" fontId="14" fillId="0" borderId="0">
      <alignment vertical="center"/>
    </xf>
    <xf numFmtId="38" fontId="14" fillId="0" borderId="0" applyFont="0" applyFill="0" applyBorder="0" applyAlignment="0" applyProtection="0">
      <alignment vertical="center"/>
    </xf>
  </cellStyleXfs>
  <cellXfs count="230">
    <xf numFmtId="0" fontId="0" fillId="0" borderId="0" xfId="0">
      <alignment vertical="center"/>
    </xf>
    <xf numFmtId="0" fontId="0" fillId="0" borderId="2" xfId="0" applyBorder="1">
      <alignment vertical="center"/>
    </xf>
    <xf numFmtId="0" fontId="0" fillId="0" borderId="0" xfId="0" applyAlignment="1">
      <alignment horizontal="center" vertical="center"/>
    </xf>
    <xf numFmtId="176" fontId="0" fillId="0" borderId="0" xfId="0" applyNumberFormat="1">
      <alignment vertical="center"/>
    </xf>
    <xf numFmtId="0" fontId="2" fillId="0" borderId="0" xfId="0" applyFont="1">
      <alignment vertical="center"/>
    </xf>
    <xf numFmtId="177" fontId="0" fillId="0" borderId="0" xfId="0" applyNumberFormat="1" applyAlignment="1">
      <alignment horizontal="center" vertical="center"/>
    </xf>
    <xf numFmtId="0" fontId="0" fillId="0" borderId="7" xfId="0" applyBorder="1">
      <alignment vertical="center"/>
    </xf>
    <xf numFmtId="38" fontId="0" fillId="0" borderId="0" xfId="1" applyFont="1">
      <alignment vertical="center"/>
    </xf>
    <xf numFmtId="0" fontId="0" fillId="0" borderId="2" xfId="0" applyBorder="1" applyAlignment="1">
      <alignment horizontal="center" vertical="center"/>
    </xf>
    <xf numFmtId="14" fontId="0" fillId="0" borderId="0" xfId="0" applyNumberFormat="1">
      <alignment vertical="center"/>
    </xf>
    <xf numFmtId="0" fontId="6" fillId="2" borderId="0" xfId="0" applyFont="1" applyFill="1">
      <alignment vertical="center"/>
    </xf>
    <xf numFmtId="0" fontId="6" fillId="2" borderId="1" xfId="0" applyFont="1" applyFill="1" applyBorder="1" applyAlignment="1">
      <alignment horizontal="center" vertical="center" wrapText="1"/>
    </xf>
    <xf numFmtId="0" fontId="6" fillId="2" borderId="0" xfId="0" applyFont="1" applyFill="1" applyAlignment="1">
      <alignment horizontal="left" vertical="center"/>
    </xf>
    <xf numFmtId="0" fontId="6" fillId="2" borderId="0" xfId="0" applyFont="1" applyFill="1" applyAlignment="1">
      <alignment horizontal="center" vertical="center" wrapText="1"/>
    </xf>
    <xf numFmtId="178" fontId="0" fillId="0" borderId="0" xfId="0" applyNumberFormat="1">
      <alignment vertical="center"/>
    </xf>
    <xf numFmtId="178" fontId="0" fillId="0" borderId="2" xfId="0" applyNumberFormat="1" applyBorder="1">
      <alignment vertical="center"/>
    </xf>
    <xf numFmtId="38" fontId="0" fillId="0" borderId="0" xfId="1" applyFont="1" applyAlignment="1">
      <alignment horizontal="center" vertical="center"/>
    </xf>
    <xf numFmtId="38" fontId="0" fillId="0" borderId="2" xfId="1" applyFont="1" applyBorder="1" applyAlignment="1">
      <alignment horizontal="center" vertical="center"/>
    </xf>
    <xf numFmtId="177" fontId="0" fillId="0" borderId="0" xfId="0" applyNumberFormat="1" applyAlignment="1">
      <alignment horizontal="center" vertical="top"/>
    </xf>
    <xf numFmtId="176" fontId="12" fillId="0" borderId="2" xfId="0" applyNumberFormat="1" applyFont="1" applyBorder="1" applyAlignment="1">
      <alignment vertical="center" shrinkToFit="1"/>
    </xf>
    <xf numFmtId="176" fontId="12" fillId="0" borderId="1" xfId="0" applyNumberFormat="1" applyFont="1" applyBorder="1" applyAlignment="1">
      <alignment vertical="center" shrinkToFit="1"/>
    </xf>
    <xf numFmtId="0" fontId="11" fillId="0" borderId="0" xfId="0" applyFont="1">
      <alignment vertical="center"/>
    </xf>
    <xf numFmtId="0" fontId="2" fillId="0" borderId="29" xfId="0" applyFont="1" applyBorder="1" applyAlignment="1">
      <alignment vertical="center" wrapText="1"/>
    </xf>
    <xf numFmtId="14" fontId="2" fillId="0" borderId="30" xfId="0" applyNumberFormat="1" applyFont="1" applyBorder="1">
      <alignment vertical="center"/>
    </xf>
    <xf numFmtId="0" fontId="9" fillId="0" borderId="0" xfId="0" applyFont="1" applyAlignment="1">
      <alignment horizontal="center"/>
    </xf>
    <xf numFmtId="177" fontId="9" fillId="0" borderId="0" xfId="0" applyNumberFormat="1" applyFont="1" applyAlignment="1">
      <alignment horizontal="center" vertical="top"/>
    </xf>
    <xf numFmtId="0" fontId="9" fillId="0" borderId="0" xfId="0" applyFont="1" applyAlignment="1">
      <alignment horizontal="right" vertical="center"/>
    </xf>
    <xf numFmtId="0" fontId="9" fillId="0" borderId="0" xfId="0" applyFont="1">
      <alignment vertical="center"/>
    </xf>
    <xf numFmtId="0" fontId="2" fillId="0" borderId="0" xfId="0" applyFont="1" applyAlignment="1">
      <alignment horizontal="right" vertical="center"/>
    </xf>
    <xf numFmtId="176" fontId="2" fillId="0" borderId="0" xfId="0" applyNumberFormat="1" applyFont="1" applyAlignment="1">
      <alignment horizontal="center"/>
    </xf>
    <xf numFmtId="176" fontId="12" fillId="0" borderId="31" xfId="0" applyNumberFormat="1" applyFont="1" applyBorder="1" applyAlignment="1">
      <alignment vertical="center" shrinkToFit="1"/>
    </xf>
    <xf numFmtId="0" fontId="9" fillId="0" borderId="0" xfId="0" applyFont="1" applyAlignment="1">
      <alignment horizontal="center" vertical="center" shrinkToFit="1"/>
    </xf>
    <xf numFmtId="176" fontId="10" fillId="0" borderId="2" xfId="0" applyNumberFormat="1" applyFont="1" applyBorder="1" applyAlignment="1">
      <alignment vertical="center" shrinkToFit="1"/>
    </xf>
    <xf numFmtId="176" fontId="10" fillId="0" borderId="4" xfId="0" applyNumberFormat="1" applyFont="1" applyBorder="1" applyAlignment="1">
      <alignment vertical="center" shrinkToFit="1"/>
    </xf>
    <xf numFmtId="176" fontId="10" fillId="0" borderId="1" xfId="0" applyNumberFormat="1" applyFont="1" applyBorder="1" applyAlignment="1">
      <alignment vertical="center" shrinkToFit="1"/>
    </xf>
    <xf numFmtId="176" fontId="10" fillId="0" borderId="31" xfId="0" applyNumberFormat="1" applyFont="1" applyBorder="1" applyAlignment="1">
      <alignment vertical="center" shrinkToFit="1"/>
    </xf>
    <xf numFmtId="0" fontId="9" fillId="0" borderId="26" xfId="0" applyFont="1" applyBorder="1">
      <alignment vertical="center"/>
    </xf>
    <xf numFmtId="0" fontId="0" fillId="0" borderId="14" xfId="0" applyBorder="1" applyAlignment="1">
      <alignment horizontal="center" vertical="center"/>
    </xf>
    <xf numFmtId="0" fontId="9" fillId="0" borderId="0" xfId="0" applyFont="1" applyAlignment="1">
      <alignment horizontal="center" shrinkToFit="1"/>
    </xf>
    <xf numFmtId="178" fontId="0" fillId="0" borderId="0" xfId="0" applyNumberFormat="1" applyAlignment="1">
      <alignment horizontal="right" vertical="center"/>
    </xf>
    <xf numFmtId="178" fontId="0" fillId="0" borderId="2" xfId="0" applyNumberFormat="1" applyBorder="1" applyAlignment="1">
      <alignment horizontal="right" vertical="center"/>
    </xf>
    <xf numFmtId="0" fontId="0" fillId="0" borderId="0" xfId="0" applyAlignment="1">
      <alignment horizontal="right" vertical="center"/>
    </xf>
    <xf numFmtId="38" fontId="0" fillId="4" borderId="2" xfId="1" applyFont="1" applyFill="1" applyBorder="1" applyAlignment="1">
      <alignment horizontal="center" vertical="center" shrinkToFit="1"/>
    </xf>
    <xf numFmtId="0" fontId="13" fillId="0" borderId="0" xfId="0" applyFont="1" applyAlignment="1">
      <alignment horizontal="right" vertical="center"/>
    </xf>
    <xf numFmtId="0" fontId="0" fillId="0" borderId="30" xfId="0" applyBorder="1">
      <alignment vertical="center"/>
    </xf>
    <xf numFmtId="0" fontId="0" fillId="0" borderId="30" xfId="0" applyBorder="1" applyAlignment="1">
      <alignment horizontal="right" vertical="center"/>
    </xf>
    <xf numFmtId="178" fontId="0" fillId="0" borderId="30" xfId="0" applyNumberFormat="1" applyBorder="1">
      <alignment vertical="center"/>
    </xf>
    <xf numFmtId="0" fontId="0" fillId="4" borderId="2" xfId="0" applyFill="1" applyBorder="1" applyAlignment="1">
      <alignment horizontal="center" vertical="center" shrinkToFit="1"/>
    </xf>
    <xf numFmtId="178" fontId="0" fillId="0" borderId="2" xfId="1" applyNumberFormat="1" applyFont="1" applyBorder="1">
      <alignment vertical="center"/>
    </xf>
    <xf numFmtId="0" fontId="0" fillId="4" borderId="2" xfId="0" applyFill="1" applyBorder="1">
      <alignment vertical="center"/>
    </xf>
    <xf numFmtId="178" fontId="6" fillId="0" borderId="2" xfId="1" applyNumberFormat="1" applyFont="1" applyBorder="1">
      <alignment vertical="center"/>
    </xf>
    <xf numFmtId="0" fontId="14" fillId="4" borderId="2" xfId="0" applyFont="1" applyFill="1" applyBorder="1" applyAlignment="1">
      <alignment horizontal="center" vertical="center"/>
    </xf>
    <xf numFmtId="0" fontId="14" fillId="4" borderId="2" xfId="0" quotePrefix="1" applyFont="1" applyFill="1" applyBorder="1" applyAlignment="1">
      <alignment horizontal="center" vertical="center"/>
    </xf>
    <xf numFmtId="38" fontId="14" fillId="4" borderId="2" xfId="1" applyFont="1" applyFill="1" applyBorder="1" applyAlignment="1">
      <alignment horizontal="center" vertical="center"/>
    </xf>
    <xf numFmtId="0" fontId="7" fillId="4" borderId="2" xfId="0" applyFont="1" applyFill="1" applyBorder="1" applyAlignment="1">
      <alignment horizontal="center" vertical="center"/>
    </xf>
    <xf numFmtId="0" fontId="0" fillId="0" borderId="0" xfId="0" applyAlignment="1">
      <alignment horizontal="center" vertical="center" shrinkToFit="1"/>
    </xf>
    <xf numFmtId="178" fontId="0" fillId="0" borderId="2" xfId="1" applyNumberFormat="1" applyFont="1" applyBorder="1" applyAlignment="1">
      <alignment horizontal="right" vertical="center" shrinkToFit="1"/>
    </xf>
    <xf numFmtId="38" fontId="0" fillId="0" borderId="2" xfId="1" applyFont="1" applyBorder="1" applyAlignment="1">
      <alignment horizontal="center" vertical="center" shrinkToFit="1"/>
    </xf>
    <xf numFmtId="0" fontId="0" fillId="0" borderId="2" xfId="0" applyBorder="1" applyAlignment="1">
      <alignment horizontal="right" vertical="center" shrinkToFit="1"/>
    </xf>
    <xf numFmtId="0" fontId="0" fillId="0" borderId="0" xfId="0" applyAlignment="1">
      <alignment vertical="center" shrinkToFit="1"/>
    </xf>
    <xf numFmtId="0" fontId="0" fillId="0" borderId="2" xfId="0" applyBorder="1" applyAlignment="1">
      <alignment vertical="center" shrinkToFit="1"/>
    </xf>
    <xf numFmtId="178" fontId="0" fillId="0" borderId="2" xfId="0" applyNumberFormat="1" applyBorder="1" applyAlignment="1">
      <alignment horizontal="right" vertical="center" shrinkToFit="1"/>
    </xf>
    <xf numFmtId="38" fontId="0" fillId="0" borderId="0" xfId="1" applyFont="1" applyFill="1" applyBorder="1" applyAlignment="1">
      <alignment horizontal="center" vertical="center" shrinkToFit="1"/>
    </xf>
    <xf numFmtId="178" fontId="0" fillId="0" borderId="0" xfId="0" applyNumberFormat="1" applyAlignment="1">
      <alignment horizontal="right" vertical="center" shrinkToFit="1"/>
    </xf>
    <xf numFmtId="0" fontId="0" fillId="0" borderId="0" xfId="0" applyAlignment="1">
      <alignment horizontal="left" vertical="center"/>
    </xf>
    <xf numFmtId="0" fontId="16" fillId="0" borderId="0" xfId="0" applyFont="1">
      <alignment vertical="center"/>
    </xf>
    <xf numFmtId="0" fontId="20" fillId="0" borderId="0" xfId="0" applyFont="1">
      <alignment vertical="center"/>
    </xf>
    <xf numFmtId="0" fontId="6" fillId="0" borderId="0" xfId="0" applyFont="1">
      <alignment vertical="center"/>
    </xf>
    <xf numFmtId="0" fontId="17" fillId="0" borderId="0" xfId="0" applyFont="1">
      <alignment vertical="center"/>
    </xf>
    <xf numFmtId="0" fontId="17" fillId="0" borderId="7" xfId="0" applyFont="1" applyBorder="1" applyAlignment="1">
      <alignment vertical="center" wrapText="1"/>
    </xf>
    <xf numFmtId="14" fontId="17" fillId="0" borderId="0" xfId="0" applyNumberFormat="1" applyFont="1">
      <alignment vertical="center"/>
    </xf>
    <xf numFmtId="0" fontId="17" fillId="0" borderId="0" xfId="0" applyFont="1" applyAlignment="1">
      <alignment horizontal="left" vertical="center" shrinkToFit="1"/>
    </xf>
    <xf numFmtId="0" fontId="17" fillId="0" borderId="24" xfId="0" applyFont="1" applyBorder="1" applyAlignment="1">
      <alignment vertical="center" shrinkToFit="1"/>
    </xf>
    <xf numFmtId="0" fontId="17" fillId="0" borderId="30" xfId="0" applyFont="1" applyBorder="1" applyAlignment="1">
      <alignment vertical="center" wrapText="1"/>
    </xf>
    <xf numFmtId="14" fontId="17" fillId="0" borderId="30" xfId="0" applyNumberFormat="1" applyFont="1" applyBorder="1">
      <alignment vertical="center"/>
    </xf>
    <xf numFmtId="0" fontId="17" fillId="0" borderId="26" xfId="0" applyFont="1" applyBorder="1">
      <alignment vertical="center"/>
    </xf>
    <xf numFmtId="14" fontId="6" fillId="0" borderId="0" xfId="0" applyNumberFormat="1" applyFont="1">
      <alignment vertical="center"/>
    </xf>
    <xf numFmtId="0" fontId="17" fillId="0" borderId="0" xfId="0" applyFont="1" applyAlignment="1">
      <alignment horizontal="right" vertical="center"/>
    </xf>
    <xf numFmtId="176" fontId="8" fillId="0" borderId="0" xfId="0" applyNumberFormat="1" applyFont="1" applyAlignment="1">
      <alignment vertical="center" wrapText="1" shrinkToFit="1"/>
    </xf>
    <xf numFmtId="176" fontId="6" fillId="0" borderId="0" xfId="0" applyNumberFormat="1" applyFont="1">
      <alignment vertical="center"/>
    </xf>
    <xf numFmtId="0" fontId="17" fillId="0" borderId="2" xfId="0" applyFont="1" applyBorder="1" applyAlignment="1">
      <alignment vertical="center" shrinkToFit="1"/>
    </xf>
    <xf numFmtId="0" fontId="17" fillId="3" borderId="6" xfId="0" applyFont="1" applyFill="1" applyBorder="1" applyAlignment="1">
      <alignment vertical="center" wrapText="1"/>
    </xf>
    <xf numFmtId="176" fontId="8" fillId="0" borderId="7" xfId="0" applyNumberFormat="1" applyFont="1" applyBorder="1" applyAlignment="1">
      <alignment vertical="center" wrapText="1" shrinkToFit="1"/>
    </xf>
    <xf numFmtId="0" fontId="17" fillId="0" borderId="29" xfId="0" applyFont="1" applyBorder="1" applyAlignment="1">
      <alignment vertical="center" wrapText="1"/>
    </xf>
    <xf numFmtId="0" fontId="17" fillId="0" borderId="7" xfId="0" applyFont="1" applyBorder="1">
      <alignment vertical="center"/>
    </xf>
    <xf numFmtId="176" fontId="8" fillId="0" borderId="2" xfId="0" applyNumberFormat="1" applyFont="1" applyBorder="1" applyAlignment="1">
      <alignment vertical="center" shrinkToFit="1"/>
    </xf>
    <xf numFmtId="177" fontId="6" fillId="0" borderId="0" xfId="0" applyNumberFormat="1" applyFont="1" applyAlignment="1">
      <alignment horizontal="center" vertical="center"/>
    </xf>
    <xf numFmtId="176" fontId="17" fillId="0" borderId="0" xfId="0" applyNumberFormat="1" applyFont="1" applyAlignment="1">
      <alignment horizontal="center"/>
    </xf>
    <xf numFmtId="177" fontId="17" fillId="0" borderId="0" xfId="0" applyNumberFormat="1" applyFont="1" applyAlignment="1">
      <alignment horizontal="center" vertical="center"/>
    </xf>
    <xf numFmtId="176" fontId="8" fillId="0" borderId="1" xfId="0" applyNumberFormat="1" applyFont="1" applyBorder="1" applyAlignment="1">
      <alignment vertical="center" shrinkToFit="1"/>
    </xf>
    <xf numFmtId="177" fontId="17" fillId="0" borderId="0" xfId="0" applyNumberFormat="1" applyFont="1" applyAlignment="1">
      <alignment horizontal="center" vertical="top"/>
    </xf>
    <xf numFmtId="0" fontId="17" fillId="0" borderId="24" xfId="0" applyFont="1" applyBorder="1">
      <alignment vertical="center"/>
    </xf>
    <xf numFmtId="176" fontId="6" fillId="0" borderId="24" xfId="0" applyNumberFormat="1" applyFont="1" applyBorder="1">
      <alignment vertical="center"/>
    </xf>
    <xf numFmtId="0" fontId="17" fillId="0" borderId="0" xfId="0" applyFont="1" applyAlignment="1">
      <alignment horizontal="center" vertical="top"/>
    </xf>
    <xf numFmtId="176" fontId="17" fillId="0" borderId="2" xfId="0" applyNumberFormat="1" applyFont="1" applyBorder="1" applyAlignment="1">
      <alignment horizontal="center" vertical="center" shrinkToFit="1"/>
    </xf>
    <xf numFmtId="0" fontId="17" fillId="0" borderId="0" xfId="0" applyFont="1" applyAlignment="1">
      <alignment horizontal="center"/>
    </xf>
    <xf numFmtId="176" fontId="8" fillId="0" borderId="31" xfId="0" applyNumberFormat="1" applyFont="1" applyBorder="1" applyAlignment="1">
      <alignment vertical="center" shrinkToFit="1"/>
    </xf>
    <xf numFmtId="0" fontId="6" fillId="0" borderId="26" xfId="0" applyFont="1" applyBorder="1">
      <alignment vertical="center"/>
    </xf>
    <xf numFmtId="176" fontId="6" fillId="0" borderId="26" xfId="0" applyNumberFormat="1" applyFont="1" applyBorder="1">
      <alignment vertical="center"/>
    </xf>
    <xf numFmtId="176" fontId="6" fillId="0" borderId="26" xfId="0" applyNumberFormat="1" applyFont="1" applyBorder="1" applyAlignment="1">
      <alignment horizontal="center" vertical="center" shrinkToFit="1"/>
    </xf>
    <xf numFmtId="0" fontId="6" fillId="2" borderId="15" xfId="0" applyFont="1" applyFill="1" applyBorder="1">
      <alignment vertical="center"/>
    </xf>
    <xf numFmtId="0" fontId="6" fillId="2" borderId="23" xfId="0" applyFont="1" applyFill="1" applyBorder="1">
      <alignment vertical="center"/>
    </xf>
    <xf numFmtId="0" fontId="6" fillId="2" borderId="1" xfId="0" applyFont="1" applyFill="1" applyBorder="1">
      <alignment vertical="center"/>
    </xf>
    <xf numFmtId="0" fontId="8" fillId="2" borderId="0" xfId="0" applyFont="1" applyFill="1" applyAlignment="1">
      <alignment horizontal="center" vertical="center" shrinkToFit="1"/>
    </xf>
    <xf numFmtId="180" fontId="6" fillId="2" borderId="1" xfId="0" applyNumberFormat="1" applyFont="1" applyFill="1" applyBorder="1" applyAlignment="1">
      <alignment horizontal="center" vertical="center" wrapText="1"/>
    </xf>
    <xf numFmtId="14" fontId="8" fillId="2" borderId="0" xfId="0" applyNumberFormat="1" applyFont="1" applyFill="1" applyAlignment="1">
      <alignment horizontal="center" vertical="center" shrinkToFit="1"/>
    </xf>
    <xf numFmtId="180" fontId="6" fillId="2" borderId="0" xfId="0" applyNumberFormat="1" applyFont="1" applyFill="1">
      <alignment vertical="center"/>
    </xf>
    <xf numFmtId="181" fontId="6" fillId="2" borderId="0" xfId="0" applyNumberFormat="1" applyFont="1" applyFill="1">
      <alignment vertical="center"/>
    </xf>
    <xf numFmtId="179" fontId="8" fillId="2" borderId="20" xfId="0" applyNumberFormat="1" applyFont="1" applyFill="1" applyBorder="1" applyAlignment="1">
      <alignment vertical="center" shrinkToFit="1"/>
    </xf>
    <xf numFmtId="176" fontId="8" fillId="2" borderId="0" xfId="0" applyNumberFormat="1" applyFont="1" applyFill="1" applyAlignment="1">
      <alignment vertical="center" shrinkToFit="1"/>
    </xf>
    <xf numFmtId="0" fontId="6" fillId="2" borderId="0" xfId="0" applyFont="1" applyFill="1" applyAlignment="1">
      <alignment horizontal="center" vertical="center"/>
    </xf>
    <xf numFmtId="0" fontId="6" fillId="2" borderId="0" xfId="0" applyFont="1" applyFill="1" applyAlignment="1">
      <alignment horizontal="right" vertical="top"/>
    </xf>
    <xf numFmtId="0" fontId="26" fillId="2" borderId="1" xfId="0" applyFont="1" applyFill="1" applyBorder="1" applyAlignment="1">
      <alignment vertical="center" wrapText="1"/>
    </xf>
    <xf numFmtId="0" fontId="6" fillId="2" borderId="0" xfId="0" applyFont="1" applyFill="1" applyAlignment="1">
      <alignment horizontal="right"/>
    </xf>
    <xf numFmtId="0" fontId="6" fillId="2" borderId="0" xfId="0" applyFont="1" applyFill="1" applyAlignment="1">
      <alignment horizontal="right" vertical="center"/>
    </xf>
    <xf numFmtId="0" fontId="6" fillId="2" borderId="0" xfId="0" applyFont="1" applyFill="1" applyAlignment="1">
      <alignment horizontal="right" indent="1"/>
    </xf>
    <xf numFmtId="0" fontId="6" fillId="2" borderId="0" xfId="0" applyFont="1" applyFill="1" applyAlignment="1">
      <alignment horizontal="right" vertical="center" indent="1"/>
    </xf>
    <xf numFmtId="17" fontId="6" fillId="2" borderId="0" xfId="0" applyNumberFormat="1" applyFont="1" applyFill="1">
      <alignment vertical="center"/>
    </xf>
    <xf numFmtId="184" fontId="0" fillId="0" borderId="0" xfId="0" applyNumberFormat="1">
      <alignment vertical="center"/>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4" xfId="0" applyFont="1" applyBorder="1" applyAlignment="1">
      <alignment vertical="center" shrinkToFit="1"/>
    </xf>
    <xf numFmtId="176" fontId="0" fillId="0" borderId="4" xfId="0" applyNumberFormat="1" applyBorder="1" applyAlignment="1">
      <alignment vertical="center" shrinkToFit="1"/>
    </xf>
    <xf numFmtId="0" fontId="17" fillId="0" borderId="4" xfId="0" applyFont="1" applyBorder="1" applyAlignment="1">
      <alignment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176" fontId="6" fillId="0" borderId="4" xfId="0" applyNumberFormat="1" applyFont="1" applyBorder="1" applyAlignment="1">
      <alignment vertical="center" shrinkToFit="1"/>
    </xf>
    <xf numFmtId="176" fontId="17" fillId="0" borderId="17" xfId="0" applyNumberFormat="1" applyFont="1" applyBorder="1" applyAlignment="1">
      <alignment horizontal="center" shrinkToFit="1"/>
    </xf>
    <xf numFmtId="176" fontId="6" fillId="0" borderId="2" xfId="0" applyNumberFormat="1" applyFont="1" applyBorder="1" applyAlignment="1">
      <alignment vertical="center" shrinkToFit="1"/>
    </xf>
    <xf numFmtId="0" fontId="17" fillId="0" borderId="0" xfId="0" applyFont="1" applyAlignment="1">
      <alignment horizontal="center" shrinkToFit="1"/>
    </xf>
    <xf numFmtId="0" fontId="25" fillId="3" borderId="1" xfId="0" applyFont="1" applyFill="1" applyBorder="1" applyAlignment="1" applyProtection="1">
      <alignment horizontal="center" vertical="center" shrinkToFit="1"/>
      <protection locked="0"/>
    </xf>
    <xf numFmtId="180" fontId="6" fillId="3" borderId="19" xfId="0" applyNumberFormat="1" applyFont="1" applyFill="1" applyBorder="1" applyAlignment="1" applyProtection="1">
      <alignment horizontal="right" vertical="center" indent="2" shrinkToFit="1"/>
      <protection locked="0"/>
    </xf>
    <xf numFmtId="180" fontId="6" fillId="3" borderId="20" xfId="0" applyNumberFormat="1" applyFont="1" applyFill="1" applyBorder="1" applyAlignment="1" applyProtection="1">
      <alignment horizontal="right" vertical="center" indent="2" shrinkToFit="1"/>
      <protection locked="0"/>
    </xf>
    <xf numFmtId="0" fontId="17" fillId="3" borderId="4" xfId="0" applyFont="1" applyFill="1" applyBorder="1" applyAlignment="1" applyProtection="1">
      <alignment vertical="center" wrapText="1"/>
      <protection locked="0"/>
    </xf>
    <xf numFmtId="176" fontId="8" fillId="3" borderId="2" xfId="0" applyNumberFormat="1" applyFont="1" applyFill="1" applyBorder="1" applyAlignment="1" applyProtection="1">
      <alignment vertical="center" shrinkToFit="1"/>
      <protection locked="0"/>
    </xf>
    <xf numFmtId="176" fontId="23" fillId="3" borderId="2" xfId="0" applyNumberFormat="1" applyFont="1" applyFill="1" applyBorder="1" applyAlignment="1" applyProtection="1">
      <alignment horizontal="center" vertical="center"/>
      <protection locked="0"/>
    </xf>
    <xf numFmtId="182" fontId="17" fillId="3" borderId="2" xfId="0" applyNumberFormat="1" applyFont="1" applyFill="1" applyBorder="1" applyAlignment="1" applyProtection="1">
      <alignment horizontal="center" vertical="center" shrinkToFit="1"/>
      <protection locked="0"/>
    </xf>
    <xf numFmtId="176" fontId="12" fillId="3" borderId="2" xfId="0" applyNumberFormat="1" applyFont="1" applyFill="1" applyBorder="1" applyAlignment="1" applyProtection="1">
      <alignment vertical="center" shrinkToFit="1"/>
      <protection locked="0"/>
    </xf>
    <xf numFmtId="14" fontId="2" fillId="3" borderId="2" xfId="0" applyNumberFormat="1" applyFont="1" applyFill="1" applyBorder="1" applyAlignment="1" applyProtection="1">
      <alignment vertical="center" shrinkToFit="1"/>
      <protection locked="0"/>
    </xf>
    <xf numFmtId="0" fontId="9" fillId="3" borderId="2" xfId="0" applyFont="1" applyFill="1" applyBorder="1" applyAlignment="1" applyProtection="1">
      <alignment vertical="center" wrapText="1" shrinkToFit="1"/>
      <protection locked="0"/>
    </xf>
    <xf numFmtId="176" fontId="10" fillId="3" borderId="2" xfId="0" applyNumberFormat="1" applyFont="1" applyFill="1" applyBorder="1" applyAlignment="1" applyProtection="1">
      <alignment vertical="center" shrinkToFit="1"/>
      <protection locked="0"/>
    </xf>
    <xf numFmtId="176" fontId="10" fillId="3" borderId="4" xfId="0" applyNumberFormat="1" applyFont="1" applyFill="1" applyBorder="1" applyAlignment="1" applyProtection="1">
      <alignment vertical="center" shrinkToFit="1"/>
      <protection locked="0"/>
    </xf>
    <xf numFmtId="0" fontId="17" fillId="3" borderId="2" xfId="0" applyFont="1" applyFill="1" applyBorder="1" applyAlignment="1" applyProtection="1">
      <alignment horizontal="left" vertical="center" wrapText="1"/>
      <protection locked="0"/>
    </xf>
    <xf numFmtId="14" fontId="8" fillId="3" borderId="2" xfId="0" applyNumberFormat="1" applyFont="1" applyFill="1" applyBorder="1" applyAlignment="1" applyProtection="1">
      <alignment vertical="center" shrinkToFit="1"/>
      <protection locked="0"/>
    </xf>
    <xf numFmtId="181" fontId="27" fillId="2" borderId="0" xfId="0" applyNumberFormat="1" applyFont="1" applyFill="1" applyAlignment="1">
      <alignment vertical="center" wrapText="1"/>
    </xf>
    <xf numFmtId="0" fontId="17" fillId="5" borderId="2" xfId="0" applyFont="1" applyFill="1" applyBorder="1" applyAlignment="1">
      <alignment vertical="center" shrinkToFit="1"/>
    </xf>
    <xf numFmtId="0" fontId="21" fillId="5" borderId="6" xfId="0" applyFont="1" applyFill="1" applyBorder="1" applyAlignment="1">
      <alignment vertical="center" wrapText="1"/>
    </xf>
    <xf numFmtId="14" fontId="17" fillId="5" borderId="5" xfId="0" applyNumberFormat="1" applyFont="1" applyFill="1" applyBorder="1" applyAlignment="1">
      <alignment vertical="center" shrinkToFit="1"/>
    </xf>
    <xf numFmtId="0" fontId="17" fillId="5" borderId="6" xfId="0" applyFont="1" applyFill="1" applyBorder="1" applyAlignment="1">
      <alignment vertical="center" shrinkToFit="1"/>
    </xf>
    <xf numFmtId="0" fontId="17" fillId="5" borderId="5" xfId="0" applyFont="1" applyFill="1" applyBorder="1" applyAlignment="1">
      <alignment vertical="center" shrinkToFit="1"/>
    </xf>
    <xf numFmtId="185" fontId="17" fillId="5" borderId="3" xfId="0" applyNumberFormat="1" applyFont="1" applyFill="1" applyBorder="1" applyAlignment="1">
      <alignment horizontal="right" vertical="center" shrinkToFit="1"/>
    </xf>
    <xf numFmtId="186" fontId="17" fillId="5" borderId="4" xfId="0" applyNumberFormat="1" applyFont="1" applyFill="1" applyBorder="1" applyAlignment="1">
      <alignment horizontal="right" vertical="center" shrinkToFit="1"/>
    </xf>
    <xf numFmtId="0" fontId="2" fillId="5" borderId="2" xfId="0" applyFont="1" applyFill="1" applyBorder="1" applyAlignment="1">
      <alignment vertical="center" shrinkToFit="1"/>
    </xf>
    <xf numFmtId="0" fontId="19" fillId="5" borderId="6" xfId="0" applyFont="1" applyFill="1" applyBorder="1" applyAlignment="1">
      <alignment vertical="center" wrapText="1"/>
    </xf>
    <xf numFmtId="14" fontId="9" fillId="5" borderId="5" xfId="0" applyNumberFormat="1" applyFont="1" applyFill="1" applyBorder="1" applyAlignment="1">
      <alignment vertical="center" shrinkToFit="1"/>
    </xf>
    <xf numFmtId="0" fontId="22" fillId="5" borderId="6" xfId="0" applyFont="1" applyFill="1" applyBorder="1" applyAlignment="1">
      <alignment vertical="center" wrapText="1"/>
    </xf>
    <xf numFmtId="0" fontId="9" fillId="5" borderId="6" xfId="0" applyFont="1" applyFill="1" applyBorder="1" applyAlignment="1">
      <alignment vertical="center" shrinkToFit="1"/>
    </xf>
    <xf numFmtId="0" fontId="9" fillId="5" borderId="5" xfId="0" applyFont="1" applyFill="1" applyBorder="1" applyAlignment="1">
      <alignment vertical="center" shrinkToFit="1"/>
    </xf>
    <xf numFmtId="0" fontId="9" fillId="5" borderId="27" xfId="0" applyFont="1" applyFill="1" applyBorder="1" applyAlignment="1">
      <alignment vertical="center" shrinkToFit="1"/>
    </xf>
    <xf numFmtId="187" fontId="17" fillId="5" borderId="2" xfId="0" applyNumberFormat="1" applyFont="1" applyFill="1" applyBorder="1" applyAlignment="1">
      <alignment horizontal="center" vertical="center"/>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183" fontId="28" fillId="0" borderId="19" xfId="0" applyNumberFormat="1" applyFont="1" applyBorder="1" applyAlignment="1">
      <alignment horizontal="center" vertical="center" wrapText="1" shrinkToFit="1"/>
    </xf>
    <xf numFmtId="183" fontId="28" fillId="0" borderId="20" xfId="0" applyNumberFormat="1" applyFont="1" applyBorder="1" applyAlignment="1">
      <alignment horizontal="center" vertical="center" wrapText="1" shrinkToFit="1"/>
    </xf>
    <xf numFmtId="0" fontId="17" fillId="3" borderId="11"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16" xfId="0" applyFont="1" applyFill="1" applyBorder="1" applyAlignment="1" applyProtection="1">
      <alignment horizontal="center" vertical="center" shrinkToFit="1"/>
      <protection locked="0"/>
    </xf>
    <xf numFmtId="0" fontId="17" fillId="3" borderId="18" xfId="0" applyFont="1" applyFill="1" applyBorder="1" applyAlignment="1" applyProtection="1">
      <alignment horizontal="center" vertical="center" shrinkToFit="1"/>
      <protection locked="0"/>
    </xf>
    <xf numFmtId="0" fontId="18" fillId="2" borderId="11"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2" borderId="16"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18" fillId="2" borderId="18" xfId="0" applyFont="1" applyFill="1" applyBorder="1" applyAlignment="1">
      <alignment horizontal="left" vertical="center" wrapText="1"/>
    </xf>
    <xf numFmtId="0" fontId="20" fillId="2" borderId="0" xfId="0" applyFont="1" applyFill="1" applyAlignment="1">
      <alignment horizontal="left" vertical="center"/>
    </xf>
    <xf numFmtId="0" fontId="8" fillId="3" borderId="23" xfId="0" applyFont="1" applyFill="1" applyBorder="1" applyAlignment="1" applyProtection="1">
      <alignment horizontal="center" vertical="center" shrinkToFit="1"/>
      <protection locked="0"/>
    </xf>
    <xf numFmtId="0" fontId="8" fillId="3" borderId="21" xfId="0" applyFont="1" applyFill="1" applyBorder="1" applyAlignment="1" applyProtection="1">
      <alignment horizontal="center" vertical="center" shrinkToFit="1"/>
      <protection locked="0"/>
    </xf>
    <xf numFmtId="0" fontId="6" fillId="2" borderId="19" xfId="0" applyFont="1" applyFill="1" applyBorder="1" applyAlignment="1">
      <alignment horizontal="left" vertical="center"/>
    </xf>
    <xf numFmtId="0" fontId="6" fillId="2" borderId="20" xfId="0" applyFont="1" applyFill="1" applyBorder="1" applyAlignment="1">
      <alignment horizontal="left" vertical="center"/>
    </xf>
    <xf numFmtId="14" fontId="8" fillId="3" borderId="11" xfId="0" applyNumberFormat="1" applyFont="1" applyFill="1" applyBorder="1" applyAlignment="1" applyProtection="1">
      <alignment horizontal="center" vertical="center" shrinkToFit="1"/>
      <protection locked="0"/>
    </xf>
    <xf numFmtId="14" fontId="8" fillId="3" borderId="13" xfId="0" applyNumberFormat="1" applyFont="1" applyFill="1" applyBorder="1" applyAlignment="1" applyProtection="1">
      <alignment horizontal="center" vertical="center" shrinkToFit="1"/>
      <protection locked="0"/>
    </xf>
    <xf numFmtId="14" fontId="8" fillId="3" borderId="16" xfId="0" applyNumberFormat="1" applyFont="1" applyFill="1" applyBorder="1" applyAlignment="1" applyProtection="1">
      <alignment horizontal="center" vertical="center" shrinkToFit="1"/>
      <protection locked="0"/>
    </xf>
    <xf numFmtId="14" fontId="8" fillId="3" borderId="18" xfId="0" applyNumberFormat="1" applyFont="1" applyFill="1" applyBorder="1" applyAlignment="1" applyProtection="1">
      <alignment horizontal="center" vertical="center" shrinkToFit="1"/>
      <protection locked="0"/>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0" xfId="0" applyFont="1" applyAlignment="1">
      <alignment horizontal="left" vertical="center" shrinkToFit="1"/>
    </xf>
    <xf numFmtId="0" fontId="17" fillId="0" borderId="28" xfId="0" applyFont="1" applyBorder="1" applyAlignment="1">
      <alignment horizontal="left" vertical="center" shrinkToFit="1"/>
    </xf>
    <xf numFmtId="0" fontId="17" fillId="0" borderId="6" xfId="0" applyFont="1" applyBorder="1" applyAlignment="1">
      <alignment horizontal="left" vertical="center" wrapText="1" shrinkToFit="1"/>
    </xf>
    <xf numFmtId="0" fontId="17" fillId="0" borderId="24" xfId="0" applyFont="1" applyBorder="1" applyAlignment="1">
      <alignment horizontal="left" vertical="center" wrapText="1" shrinkToFit="1"/>
    </xf>
    <xf numFmtId="0" fontId="17" fillId="0" borderId="5" xfId="0" applyFont="1" applyBorder="1" applyAlignment="1">
      <alignment horizontal="left" vertical="center" wrapText="1"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2" fillId="0" borderId="0" xfId="0" applyFont="1" applyAlignment="1">
      <alignment horizontal="left" vertical="center" shrinkToFit="1"/>
    </xf>
    <xf numFmtId="0" fontId="2" fillId="0" borderId="28" xfId="0" applyFont="1" applyBorder="1" applyAlignment="1">
      <alignment horizontal="left" vertical="center" shrinkToFit="1"/>
    </xf>
    <xf numFmtId="0" fontId="14" fillId="0" borderId="7" xfId="0" applyFont="1" applyBorder="1" applyAlignment="1">
      <alignment horizontal="left" vertical="center" wrapText="1"/>
    </xf>
    <xf numFmtId="0" fontId="14" fillId="0" borderId="0" xfId="0" applyFont="1" applyAlignment="1">
      <alignment horizontal="left" vertical="center" wrapText="1"/>
    </xf>
    <xf numFmtId="0" fontId="0" fillId="0" borderId="6" xfId="0" applyBorder="1" applyAlignment="1">
      <alignment horizontal="center" vertical="center" shrinkToFit="1"/>
    </xf>
    <xf numFmtId="0" fontId="0" fillId="0" borderId="24" xfId="0" applyBorder="1" applyAlignment="1">
      <alignment horizontal="center" vertical="center" shrinkToFit="1"/>
    </xf>
    <xf numFmtId="0" fontId="0" fillId="0" borderId="5" xfId="0" applyBorder="1" applyAlignment="1">
      <alignment horizontal="center" vertical="center" shrinkToFit="1"/>
    </xf>
    <xf numFmtId="0" fontId="2" fillId="0" borderId="3" xfId="0" applyFont="1" applyBorder="1" applyAlignment="1">
      <alignment horizontal="center" vertical="center" shrinkToFit="1"/>
    </xf>
    <xf numFmtId="179" fontId="8" fillId="3" borderId="6" xfId="0" applyNumberFormat="1" applyFont="1" applyFill="1" applyBorder="1" applyAlignment="1" applyProtection="1">
      <alignment horizontal="right" vertical="center" shrinkToFit="1"/>
      <protection locked="0"/>
    </xf>
    <xf numFmtId="179" fontId="8" fillId="3" borderId="5" xfId="0" applyNumberFormat="1" applyFont="1" applyFill="1" applyBorder="1" applyAlignment="1" applyProtection="1">
      <alignment horizontal="right" vertical="center" shrinkToFit="1"/>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25" xfId="0" applyFont="1" applyBorder="1" applyAlignment="1">
      <alignment horizontal="center" vertical="center" wrapText="1"/>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17" fillId="0" borderId="22" xfId="0" applyFont="1" applyBorder="1" applyAlignment="1">
      <alignment horizontal="center" vertical="center"/>
    </xf>
    <xf numFmtId="179" fontId="8" fillId="0" borderId="6" xfId="0" applyNumberFormat="1" applyFont="1" applyBorder="1" applyAlignment="1">
      <alignment horizontal="right" vertical="center" shrinkToFit="1"/>
    </xf>
    <xf numFmtId="179" fontId="8" fillId="0" borderId="5" xfId="0" applyNumberFormat="1" applyFont="1" applyBorder="1" applyAlignment="1">
      <alignment horizontal="right" vertical="center" shrinkToFit="1"/>
    </xf>
    <xf numFmtId="0" fontId="17" fillId="0" borderId="0" xfId="0" applyFont="1" applyAlignment="1">
      <alignment horizontal="left" vertical="center" wrapText="1"/>
    </xf>
    <xf numFmtId="0" fontId="17" fillId="3" borderId="24" xfId="0" applyFont="1" applyFill="1" applyBorder="1" applyAlignment="1" applyProtection="1">
      <alignment horizontal="center" vertical="center" wrapText="1"/>
      <protection locked="0"/>
    </xf>
    <xf numFmtId="0" fontId="17" fillId="3" borderId="5" xfId="0" applyFont="1" applyFill="1" applyBorder="1" applyAlignment="1" applyProtection="1">
      <alignment horizontal="center" vertical="center" wrapText="1"/>
      <protection locked="0"/>
    </xf>
    <xf numFmtId="0" fontId="17" fillId="3" borderId="6" xfId="0" applyFont="1" applyFill="1" applyBorder="1" applyAlignment="1" applyProtection="1">
      <alignment horizontal="center" vertical="center" shrinkToFit="1"/>
      <protection locked="0"/>
    </xf>
    <xf numFmtId="0" fontId="17" fillId="3" borderId="5" xfId="0" applyFont="1" applyFill="1" applyBorder="1" applyAlignment="1" applyProtection="1">
      <alignment horizontal="center" vertical="center" shrinkToFit="1"/>
      <protection locked="0"/>
    </xf>
    <xf numFmtId="0" fontId="17" fillId="0" borderId="25" xfId="0" applyFont="1" applyBorder="1" applyAlignment="1">
      <alignment horizontal="center" vertical="center"/>
    </xf>
    <xf numFmtId="0" fontId="17" fillId="0" borderId="27"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2" xfId="0" applyFont="1" applyBorder="1" applyAlignment="1">
      <alignment horizontal="center" vertical="center" wrapText="1"/>
    </xf>
    <xf numFmtId="176" fontId="8" fillId="0" borderId="2" xfId="0" applyNumberFormat="1" applyFont="1" applyBorder="1" applyAlignment="1">
      <alignment horizontal="center" vertical="center" wrapText="1" shrinkToFit="1"/>
    </xf>
    <xf numFmtId="38" fontId="0" fillId="4" borderId="2" xfId="1" applyFont="1" applyFill="1" applyBorder="1" applyAlignment="1">
      <alignment horizontal="center" vertical="center" shrinkToFit="1"/>
    </xf>
    <xf numFmtId="38" fontId="0" fillId="4" borderId="6" xfId="1" applyFont="1" applyFill="1" applyBorder="1" applyAlignment="1">
      <alignment horizontal="center" vertical="center" shrinkToFit="1"/>
    </xf>
    <xf numFmtId="38" fontId="0" fillId="4" borderId="24" xfId="1" applyFont="1" applyFill="1" applyBorder="1" applyAlignment="1">
      <alignment horizontal="center" vertical="center" shrinkToFit="1"/>
    </xf>
    <xf numFmtId="38" fontId="0" fillId="4" borderId="5" xfId="1" applyFont="1" applyFill="1" applyBorder="1" applyAlignment="1">
      <alignment horizontal="center" vertical="center" shrinkToFit="1"/>
    </xf>
  </cellXfs>
  <cellStyles count="5">
    <cellStyle name="桁区切り" xfId="1" builtinId="6"/>
    <cellStyle name="桁区切り 2" xfId="4" xr:uid="{0E8C943F-E08F-4D76-ABF1-13A7D8C05301}"/>
    <cellStyle name="標準" xfId="0" builtinId="0"/>
    <cellStyle name="標準 2" xfId="2" xr:uid="{2077AC68-C3D9-48B0-A391-40A504DB4EBF}"/>
    <cellStyle name="標準 3" xfId="3" xr:uid="{EC7234C7-5E62-40DA-99C2-A6458D2179CA}"/>
  </cellStyles>
  <dxfs count="1">
    <dxf>
      <font>
        <color rgb="FF9C0006"/>
      </font>
      <fill>
        <patternFill>
          <bgColor rgb="FFFFC7CE"/>
        </patternFill>
      </fill>
    </dxf>
  </dxfs>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9300</xdr:colOff>
      <xdr:row>17</xdr:row>
      <xdr:rowOff>250115</xdr:rowOff>
    </xdr:from>
    <xdr:to>
      <xdr:col>6</xdr:col>
      <xdr:colOff>558389</xdr:colOff>
      <xdr:row>17</xdr:row>
      <xdr:rowOff>250115</xdr:rowOff>
    </xdr:to>
    <xdr:cxnSp macro="">
      <xdr:nvCxnSpPr>
        <xdr:cNvPr id="3" name="直線矢印コネクタ 2">
          <a:extLst>
            <a:ext uri="{FF2B5EF4-FFF2-40B4-BE49-F238E27FC236}">
              <a16:creationId xmlns:a16="http://schemas.microsoft.com/office/drawing/2014/main" id="{37EFBA19-F591-AFA1-D1B9-A0A3C9CE5551}"/>
            </a:ext>
          </a:extLst>
        </xdr:cNvPr>
        <xdr:cNvCxnSpPr/>
      </xdr:nvCxnSpPr>
      <xdr:spPr>
        <a:xfrm>
          <a:off x="4682153" y="3567056"/>
          <a:ext cx="549089"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813</xdr:colOff>
      <xdr:row>17</xdr:row>
      <xdr:rowOff>246530</xdr:rowOff>
    </xdr:from>
    <xdr:to>
      <xdr:col>11</xdr:col>
      <xdr:colOff>433152</xdr:colOff>
      <xdr:row>17</xdr:row>
      <xdr:rowOff>246530</xdr:rowOff>
    </xdr:to>
    <xdr:cxnSp macro="">
      <xdr:nvCxnSpPr>
        <xdr:cNvPr id="4" name="直線矢印コネクタ 3">
          <a:extLst>
            <a:ext uri="{FF2B5EF4-FFF2-40B4-BE49-F238E27FC236}">
              <a16:creationId xmlns:a16="http://schemas.microsoft.com/office/drawing/2014/main" id="{D4AA7BDE-5796-47E9-AEA9-465BBBB8D31F}"/>
            </a:ext>
          </a:extLst>
        </xdr:cNvPr>
        <xdr:cNvCxnSpPr/>
      </xdr:nvCxnSpPr>
      <xdr:spPr>
        <a:xfrm>
          <a:off x="8633184" y="3588444"/>
          <a:ext cx="535754"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22</xdr:row>
      <xdr:rowOff>257735</xdr:rowOff>
    </xdr:from>
    <xdr:to>
      <xdr:col>6</xdr:col>
      <xdr:colOff>552899</xdr:colOff>
      <xdr:row>22</xdr:row>
      <xdr:rowOff>257735</xdr:rowOff>
    </xdr:to>
    <xdr:cxnSp macro="">
      <xdr:nvCxnSpPr>
        <xdr:cNvPr id="5" name="直線矢印コネクタ 4">
          <a:extLst>
            <a:ext uri="{FF2B5EF4-FFF2-40B4-BE49-F238E27FC236}">
              <a16:creationId xmlns:a16="http://schemas.microsoft.com/office/drawing/2014/main" id="{4CD6EC56-8ED9-4627-AFB9-4B5C8DECFFE2}"/>
            </a:ext>
          </a:extLst>
        </xdr:cNvPr>
        <xdr:cNvCxnSpPr/>
      </xdr:nvCxnSpPr>
      <xdr:spPr>
        <a:xfrm>
          <a:off x="4672853" y="5244353"/>
          <a:ext cx="552899"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50539</xdr:colOff>
      <xdr:row>17</xdr:row>
      <xdr:rowOff>240815</xdr:rowOff>
    </xdr:from>
    <xdr:to>
      <xdr:col>4</xdr:col>
      <xdr:colOff>649941</xdr:colOff>
      <xdr:row>17</xdr:row>
      <xdr:rowOff>240815</xdr:rowOff>
    </xdr:to>
    <xdr:cxnSp macro="">
      <xdr:nvCxnSpPr>
        <xdr:cNvPr id="7" name="直線コネクタ 6">
          <a:extLst>
            <a:ext uri="{FF2B5EF4-FFF2-40B4-BE49-F238E27FC236}">
              <a16:creationId xmlns:a16="http://schemas.microsoft.com/office/drawing/2014/main" id="{9DA81155-106D-901D-2A1A-9E9A85D7B69B}"/>
            </a:ext>
          </a:extLst>
        </xdr:cNvPr>
        <xdr:cNvCxnSpPr/>
      </xdr:nvCxnSpPr>
      <xdr:spPr>
        <a:xfrm>
          <a:off x="2616686" y="3557756"/>
          <a:ext cx="599402"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67236</xdr:colOff>
      <xdr:row>17</xdr:row>
      <xdr:rowOff>246529</xdr:rowOff>
    </xdr:from>
    <xdr:to>
      <xdr:col>8</xdr:col>
      <xdr:colOff>668543</xdr:colOff>
      <xdr:row>17</xdr:row>
      <xdr:rowOff>246529</xdr:rowOff>
    </xdr:to>
    <xdr:cxnSp macro="">
      <xdr:nvCxnSpPr>
        <xdr:cNvPr id="8" name="直線コネクタ 7">
          <a:extLst>
            <a:ext uri="{FF2B5EF4-FFF2-40B4-BE49-F238E27FC236}">
              <a16:creationId xmlns:a16="http://schemas.microsoft.com/office/drawing/2014/main" id="{99DFF414-8F98-4DF0-A070-1B19865372A4}"/>
            </a:ext>
          </a:extLst>
        </xdr:cNvPr>
        <xdr:cNvCxnSpPr/>
      </xdr:nvCxnSpPr>
      <xdr:spPr>
        <a:xfrm>
          <a:off x="6846795" y="3563470"/>
          <a:ext cx="601307"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59615</xdr:colOff>
      <xdr:row>22</xdr:row>
      <xdr:rowOff>261545</xdr:rowOff>
    </xdr:from>
    <xdr:to>
      <xdr:col>4</xdr:col>
      <xdr:colOff>664732</xdr:colOff>
      <xdr:row>22</xdr:row>
      <xdr:rowOff>261545</xdr:rowOff>
    </xdr:to>
    <xdr:cxnSp macro="">
      <xdr:nvCxnSpPr>
        <xdr:cNvPr id="9" name="直線コネクタ 8">
          <a:extLst>
            <a:ext uri="{FF2B5EF4-FFF2-40B4-BE49-F238E27FC236}">
              <a16:creationId xmlns:a16="http://schemas.microsoft.com/office/drawing/2014/main" id="{084A5BFA-7263-4215-8BE6-6EB9572F245B}"/>
            </a:ext>
          </a:extLst>
        </xdr:cNvPr>
        <xdr:cNvCxnSpPr/>
      </xdr:nvCxnSpPr>
      <xdr:spPr>
        <a:xfrm>
          <a:off x="2625762" y="5248163"/>
          <a:ext cx="605117"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15903</xdr:colOff>
      <xdr:row>7</xdr:row>
      <xdr:rowOff>15902</xdr:rowOff>
    </xdr:from>
    <xdr:to>
      <xdr:col>12</xdr:col>
      <xdr:colOff>930089</xdr:colOff>
      <xdr:row>7</xdr:row>
      <xdr:rowOff>246529</xdr:rowOff>
    </xdr:to>
    <xdr:sp macro="" textlink="">
      <xdr:nvSpPr>
        <xdr:cNvPr id="12" name="テキスト ボックス 11">
          <a:extLst>
            <a:ext uri="{FF2B5EF4-FFF2-40B4-BE49-F238E27FC236}">
              <a16:creationId xmlns:a16="http://schemas.microsoft.com/office/drawing/2014/main" id="{17E99AC4-3B45-1243-E87D-75B9980E4D6A}"/>
            </a:ext>
          </a:extLst>
        </xdr:cNvPr>
        <xdr:cNvSpPr txBox="1"/>
      </xdr:nvSpPr>
      <xdr:spPr>
        <a:xfrm>
          <a:off x="9989138" y="1864873"/>
          <a:ext cx="914186" cy="230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xdr:from>
      <xdr:col>12</xdr:col>
      <xdr:colOff>554804</xdr:colOff>
      <xdr:row>2</xdr:row>
      <xdr:rowOff>31712</xdr:rowOff>
    </xdr:from>
    <xdr:to>
      <xdr:col>14</xdr:col>
      <xdr:colOff>97652</xdr:colOff>
      <xdr:row>2</xdr:row>
      <xdr:rowOff>655656</xdr:rowOff>
    </xdr:to>
    <xdr:sp macro="" textlink="">
      <xdr:nvSpPr>
        <xdr:cNvPr id="10" name="テキスト ボックス 9">
          <a:extLst>
            <a:ext uri="{FF2B5EF4-FFF2-40B4-BE49-F238E27FC236}">
              <a16:creationId xmlns:a16="http://schemas.microsoft.com/office/drawing/2014/main" id="{E2E5F562-229F-47C5-91D6-95A66530AE01}"/>
            </a:ext>
          </a:extLst>
        </xdr:cNvPr>
        <xdr:cNvSpPr txBox="1"/>
      </xdr:nvSpPr>
      <xdr:spPr>
        <a:xfrm>
          <a:off x="10528039" y="479947"/>
          <a:ext cx="1257348" cy="62394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ysClr val="windowText" lastClr="000000"/>
              </a:solidFill>
            </a:rPr>
            <a:t>総表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198344</xdr:colOff>
      <xdr:row>24</xdr:row>
      <xdr:rowOff>338418</xdr:rowOff>
    </xdr:from>
    <xdr:to>
      <xdr:col>17</xdr:col>
      <xdr:colOff>617444</xdr:colOff>
      <xdr:row>24</xdr:row>
      <xdr:rowOff>338418</xdr:rowOff>
    </xdr:to>
    <xdr:cxnSp macro="">
      <xdr:nvCxnSpPr>
        <xdr:cNvPr id="2" name="直線矢印コネクタ 1">
          <a:extLst>
            <a:ext uri="{FF2B5EF4-FFF2-40B4-BE49-F238E27FC236}">
              <a16:creationId xmlns:a16="http://schemas.microsoft.com/office/drawing/2014/main" id="{B94D4FE9-6365-4591-81E4-01AEB40F1082}"/>
            </a:ext>
          </a:extLst>
        </xdr:cNvPr>
        <xdr:cNvCxnSpPr/>
      </xdr:nvCxnSpPr>
      <xdr:spPr>
        <a:xfrm>
          <a:off x="13241991" y="6905065"/>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14</xdr:row>
      <xdr:rowOff>414618</xdr:rowOff>
    </xdr:from>
    <xdr:to>
      <xdr:col>17</xdr:col>
      <xdr:colOff>201705</xdr:colOff>
      <xdr:row>25</xdr:row>
      <xdr:rowOff>125171</xdr:rowOff>
    </xdr:to>
    <xdr:sp macro="" textlink="">
      <xdr:nvSpPr>
        <xdr:cNvPr id="16" name="右大かっこ 15">
          <a:extLst>
            <a:ext uri="{FF2B5EF4-FFF2-40B4-BE49-F238E27FC236}">
              <a16:creationId xmlns:a16="http://schemas.microsoft.com/office/drawing/2014/main" id="{41FFA1EE-1664-44FA-BDD2-AE5B6ACF1917}"/>
            </a:ext>
          </a:extLst>
        </xdr:cNvPr>
        <xdr:cNvSpPr/>
      </xdr:nvSpPr>
      <xdr:spPr>
        <a:xfrm>
          <a:off x="13043647" y="3328147"/>
          <a:ext cx="201705" cy="4002406"/>
        </a:xfrm>
        <a:prstGeom prst="rightBracket">
          <a:avLst>
            <a:gd name="adj" fmla="val 1152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129540</xdr:colOff>
      <xdr:row>20</xdr:row>
      <xdr:rowOff>355117</xdr:rowOff>
    </xdr:from>
    <xdr:to>
      <xdr:col>15</xdr:col>
      <xdr:colOff>548640</xdr:colOff>
      <xdr:row>20</xdr:row>
      <xdr:rowOff>355117</xdr:rowOff>
    </xdr:to>
    <xdr:cxnSp macro="">
      <xdr:nvCxnSpPr>
        <xdr:cNvPr id="21" name="直線矢印コネクタ 20">
          <a:extLst>
            <a:ext uri="{FF2B5EF4-FFF2-40B4-BE49-F238E27FC236}">
              <a16:creationId xmlns:a16="http://schemas.microsoft.com/office/drawing/2014/main" id="{ACBDDDD5-8249-446C-A4F4-B102F7005793}"/>
            </a:ext>
          </a:extLst>
        </xdr:cNvPr>
        <xdr:cNvCxnSpPr/>
      </xdr:nvCxnSpPr>
      <xdr:spPr>
        <a:xfrm>
          <a:off x="12164658" y="5005558"/>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359469</xdr:colOff>
      <xdr:row>12</xdr:row>
      <xdr:rowOff>626539</xdr:rowOff>
    </xdr:from>
    <xdr:to>
      <xdr:col>18</xdr:col>
      <xdr:colOff>668383</xdr:colOff>
      <xdr:row>14</xdr:row>
      <xdr:rowOff>290090</xdr:rowOff>
    </xdr:to>
    <xdr:sp macro="" textlink="">
      <xdr:nvSpPr>
        <xdr:cNvPr id="30" name="テキスト ボックス 29">
          <a:extLst>
            <a:ext uri="{FF2B5EF4-FFF2-40B4-BE49-F238E27FC236}">
              <a16:creationId xmlns:a16="http://schemas.microsoft.com/office/drawing/2014/main" id="{79A77022-BB0F-0545-876D-C16F3794AD1F}"/>
            </a:ext>
          </a:extLst>
        </xdr:cNvPr>
        <xdr:cNvSpPr txBox="1"/>
      </xdr:nvSpPr>
      <xdr:spPr>
        <a:xfrm>
          <a:off x="10496790" y="4436539"/>
          <a:ext cx="4554343" cy="94262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a:t>
          </a:r>
          <a:r>
            <a:rPr kumimoji="1" lang="en-US" altLang="ja-JP" sz="1400"/>
            <a:t>A</a:t>
          </a:r>
          <a:r>
            <a:rPr kumimoji="1" lang="ja-JP" altLang="en-US" sz="1400"/>
            <a:t>）には左記期間における賞与の支給回数を記載</a:t>
          </a:r>
          <a:endParaRPr kumimoji="1" lang="en-US" altLang="ja-JP" sz="1400"/>
        </a:p>
        <a:p>
          <a:pPr algn="l"/>
          <a:r>
            <a:rPr kumimoji="1" lang="ja-JP" altLang="en-US" sz="1400"/>
            <a:t>（</a:t>
          </a:r>
          <a:r>
            <a:rPr kumimoji="1" lang="en-US" altLang="ja-JP" sz="1400"/>
            <a:t>B</a:t>
          </a:r>
          <a:r>
            <a:rPr kumimoji="1" lang="ja-JP" altLang="en-US" sz="1400"/>
            <a:t>）には（</a:t>
          </a:r>
          <a:r>
            <a:rPr kumimoji="1" lang="en-US" altLang="ja-JP" sz="1400"/>
            <a:t>A</a:t>
          </a:r>
          <a:r>
            <a:rPr kumimoji="1" lang="ja-JP" altLang="en-US" sz="1400"/>
            <a:t>）を含む年間の賞与の支給回数を記載</a:t>
          </a:r>
        </a:p>
      </xdr:txBody>
    </xdr:sp>
    <xdr:clientData/>
  </xdr:twoCellAnchor>
  <xdr:twoCellAnchor>
    <xdr:from>
      <xdr:col>15</xdr:col>
      <xdr:colOff>140747</xdr:colOff>
      <xdr:row>15</xdr:row>
      <xdr:rowOff>400162</xdr:rowOff>
    </xdr:from>
    <xdr:to>
      <xdr:col>15</xdr:col>
      <xdr:colOff>559847</xdr:colOff>
      <xdr:row>15</xdr:row>
      <xdr:rowOff>400162</xdr:rowOff>
    </xdr:to>
    <xdr:cxnSp macro="">
      <xdr:nvCxnSpPr>
        <xdr:cNvPr id="31" name="直線矢印コネクタ 30">
          <a:extLst>
            <a:ext uri="{FF2B5EF4-FFF2-40B4-BE49-F238E27FC236}">
              <a16:creationId xmlns:a16="http://schemas.microsoft.com/office/drawing/2014/main" id="{8D476C66-30A0-4E36-A1E2-25DB8322D2F7}"/>
            </a:ext>
          </a:extLst>
        </xdr:cNvPr>
        <xdr:cNvCxnSpPr/>
      </xdr:nvCxnSpPr>
      <xdr:spPr>
        <a:xfrm>
          <a:off x="12175865" y="3952427"/>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65329</xdr:colOff>
      <xdr:row>10</xdr:row>
      <xdr:rowOff>171899</xdr:rowOff>
    </xdr:from>
    <xdr:to>
      <xdr:col>11</xdr:col>
      <xdr:colOff>0</xdr:colOff>
      <xdr:row>16</xdr:row>
      <xdr:rowOff>11206</xdr:rowOff>
    </xdr:to>
    <xdr:sp macro="" textlink="">
      <xdr:nvSpPr>
        <xdr:cNvPr id="32" name="右大かっこ 31">
          <a:extLst>
            <a:ext uri="{FF2B5EF4-FFF2-40B4-BE49-F238E27FC236}">
              <a16:creationId xmlns:a16="http://schemas.microsoft.com/office/drawing/2014/main" id="{2300DDC6-D5EA-4C5A-BF4C-F510E432B8E1}"/>
            </a:ext>
          </a:extLst>
        </xdr:cNvPr>
        <xdr:cNvSpPr/>
      </xdr:nvSpPr>
      <xdr:spPr>
        <a:xfrm>
          <a:off x="10072182" y="1583840"/>
          <a:ext cx="125171" cy="2640778"/>
        </a:xfrm>
        <a:prstGeom prst="rightBracket">
          <a:avLst>
            <a:gd name="adj" fmla="val 1152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15</xdr:row>
      <xdr:rowOff>237228</xdr:rowOff>
    </xdr:from>
    <xdr:to>
      <xdr:col>13</xdr:col>
      <xdr:colOff>201706</xdr:colOff>
      <xdr:row>15</xdr:row>
      <xdr:rowOff>237228</xdr:rowOff>
    </xdr:to>
    <xdr:cxnSp macro="">
      <xdr:nvCxnSpPr>
        <xdr:cNvPr id="33" name="直線矢印コネクタ 32">
          <a:extLst>
            <a:ext uri="{FF2B5EF4-FFF2-40B4-BE49-F238E27FC236}">
              <a16:creationId xmlns:a16="http://schemas.microsoft.com/office/drawing/2014/main" id="{66A63C3E-CB63-4FC1-8759-CE930B44F059}"/>
            </a:ext>
          </a:extLst>
        </xdr:cNvPr>
        <xdr:cNvCxnSpPr/>
      </xdr:nvCxnSpPr>
      <xdr:spPr>
        <a:xfrm>
          <a:off x="10197353" y="3285228"/>
          <a:ext cx="918882"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129540</xdr:colOff>
      <xdr:row>21</xdr:row>
      <xdr:rowOff>355117</xdr:rowOff>
    </xdr:from>
    <xdr:to>
      <xdr:col>15</xdr:col>
      <xdr:colOff>548640</xdr:colOff>
      <xdr:row>21</xdr:row>
      <xdr:rowOff>355117</xdr:rowOff>
    </xdr:to>
    <xdr:cxnSp macro="">
      <xdr:nvCxnSpPr>
        <xdr:cNvPr id="40" name="直線矢印コネクタ 39">
          <a:extLst>
            <a:ext uri="{FF2B5EF4-FFF2-40B4-BE49-F238E27FC236}">
              <a16:creationId xmlns:a16="http://schemas.microsoft.com/office/drawing/2014/main" id="{4C921052-67F0-4D31-804A-C41A00A9E648}"/>
            </a:ext>
          </a:extLst>
        </xdr:cNvPr>
        <xdr:cNvCxnSpPr/>
      </xdr:nvCxnSpPr>
      <xdr:spPr>
        <a:xfrm>
          <a:off x="12164658" y="5644293"/>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129540</xdr:colOff>
      <xdr:row>22</xdr:row>
      <xdr:rowOff>355117</xdr:rowOff>
    </xdr:from>
    <xdr:to>
      <xdr:col>15</xdr:col>
      <xdr:colOff>548640</xdr:colOff>
      <xdr:row>22</xdr:row>
      <xdr:rowOff>355117</xdr:rowOff>
    </xdr:to>
    <xdr:cxnSp macro="">
      <xdr:nvCxnSpPr>
        <xdr:cNvPr id="42" name="直線矢印コネクタ 41">
          <a:extLst>
            <a:ext uri="{FF2B5EF4-FFF2-40B4-BE49-F238E27FC236}">
              <a16:creationId xmlns:a16="http://schemas.microsoft.com/office/drawing/2014/main" id="{B72D7327-0A39-4EAB-BF67-9304C9D153FF}"/>
            </a:ext>
          </a:extLst>
        </xdr:cNvPr>
        <xdr:cNvCxnSpPr/>
      </xdr:nvCxnSpPr>
      <xdr:spPr>
        <a:xfrm>
          <a:off x="12164658" y="6283029"/>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129540</xdr:colOff>
      <xdr:row>24</xdr:row>
      <xdr:rowOff>355117</xdr:rowOff>
    </xdr:from>
    <xdr:to>
      <xdr:col>15</xdr:col>
      <xdr:colOff>548640</xdr:colOff>
      <xdr:row>24</xdr:row>
      <xdr:rowOff>355117</xdr:rowOff>
    </xdr:to>
    <xdr:cxnSp macro="">
      <xdr:nvCxnSpPr>
        <xdr:cNvPr id="44" name="直線矢印コネクタ 43">
          <a:extLst>
            <a:ext uri="{FF2B5EF4-FFF2-40B4-BE49-F238E27FC236}">
              <a16:creationId xmlns:a16="http://schemas.microsoft.com/office/drawing/2014/main" id="{69EBBD28-CE9F-455F-A9DC-3C108C1EB765}"/>
            </a:ext>
          </a:extLst>
        </xdr:cNvPr>
        <xdr:cNvCxnSpPr/>
      </xdr:nvCxnSpPr>
      <xdr:spPr>
        <a:xfrm>
          <a:off x="12164658" y="6921764"/>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359773</xdr:colOff>
      <xdr:row>14</xdr:row>
      <xdr:rowOff>283847</xdr:rowOff>
    </xdr:from>
    <xdr:to>
      <xdr:col>12</xdr:col>
      <xdr:colOff>324394</xdr:colOff>
      <xdr:row>19</xdr:row>
      <xdr:rowOff>10070</xdr:rowOff>
    </xdr:to>
    <xdr:cxnSp macro="">
      <xdr:nvCxnSpPr>
        <xdr:cNvPr id="50" name="直線コネクタ 49">
          <a:extLst>
            <a:ext uri="{FF2B5EF4-FFF2-40B4-BE49-F238E27FC236}">
              <a16:creationId xmlns:a16="http://schemas.microsoft.com/office/drawing/2014/main" id="{CB4429C8-816C-0813-BB9B-64B27AB2113D}"/>
            </a:ext>
          </a:extLst>
        </xdr:cNvPr>
        <xdr:cNvCxnSpPr/>
      </xdr:nvCxnSpPr>
      <xdr:spPr>
        <a:xfrm flipH="1">
          <a:off x="12157166" y="5372918"/>
          <a:ext cx="332014" cy="1971402"/>
        </a:xfrm>
        <a:prstGeom prst="line">
          <a:avLst/>
        </a:prstGeom>
        <a:ln>
          <a:solidFill>
            <a:schemeClr val="tx1"/>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129540</xdr:colOff>
      <xdr:row>23</xdr:row>
      <xdr:rowOff>355117</xdr:rowOff>
    </xdr:from>
    <xdr:to>
      <xdr:col>15</xdr:col>
      <xdr:colOff>548640</xdr:colOff>
      <xdr:row>23</xdr:row>
      <xdr:rowOff>355117</xdr:rowOff>
    </xdr:to>
    <xdr:cxnSp macro="">
      <xdr:nvCxnSpPr>
        <xdr:cNvPr id="62" name="直線矢印コネクタ 61">
          <a:extLst>
            <a:ext uri="{FF2B5EF4-FFF2-40B4-BE49-F238E27FC236}">
              <a16:creationId xmlns:a16="http://schemas.microsoft.com/office/drawing/2014/main" id="{E8D7F88D-5915-4C2D-858C-12799D974479}"/>
            </a:ext>
          </a:extLst>
        </xdr:cNvPr>
        <xdr:cNvCxnSpPr/>
      </xdr:nvCxnSpPr>
      <xdr:spPr>
        <a:xfrm>
          <a:off x="12216493" y="9067498"/>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32658</xdr:colOff>
      <xdr:row>4</xdr:row>
      <xdr:rowOff>10886</xdr:rowOff>
    </xdr:from>
    <xdr:to>
      <xdr:col>18</xdr:col>
      <xdr:colOff>925286</xdr:colOff>
      <xdr:row>7</xdr:row>
      <xdr:rowOff>174171</xdr:rowOff>
    </xdr:to>
    <xdr:sp macro="" textlink="">
      <xdr:nvSpPr>
        <xdr:cNvPr id="3" name="テキスト ボックス 2">
          <a:extLst>
            <a:ext uri="{FF2B5EF4-FFF2-40B4-BE49-F238E27FC236}">
              <a16:creationId xmlns:a16="http://schemas.microsoft.com/office/drawing/2014/main" id="{D2B877D6-7E33-40FD-A41A-31D5F9636D7E}"/>
            </a:ext>
          </a:extLst>
        </xdr:cNvPr>
        <xdr:cNvSpPr txBox="1"/>
      </xdr:nvSpPr>
      <xdr:spPr>
        <a:xfrm>
          <a:off x="10123715" y="1186543"/>
          <a:ext cx="5116285" cy="968828"/>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収入証明書類を３か月分提出する場合は３列目までを、</a:t>
          </a:r>
          <a:endParaRPr kumimoji="1" lang="en-US" altLang="ja-JP" sz="1400"/>
        </a:p>
        <a:p>
          <a:pPr algn="l"/>
          <a:r>
            <a:rPr kumimoji="1" lang="ja-JP" altLang="en-US" sz="1400"/>
            <a:t>６か月分提出する場合は６列目までを記載してください。</a:t>
          </a:r>
        </a:p>
      </xdr:txBody>
    </xdr:sp>
    <xdr:clientData/>
  </xdr:twoCellAnchor>
  <xdr:twoCellAnchor>
    <xdr:from>
      <xdr:col>8</xdr:col>
      <xdr:colOff>435428</xdr:colOff>
      <xdr:row>4</xdr:row>
      <xdr:rowOff>217714</xdr:rowOff>
    </xdr:from>
    <xdr:to>
      <xdr:col>11</xdr:col>
      <xdr:colOff>23675</xdr:colOff>
      <xdr:row>7</xdr:row>
      <xdr:rowOff>261257</xdr:rowOff>
    </xdr:to>
    <xdr:cxnSp macro="">
      <xdr:nvCxnSpPr>
        <xdr:cNvPr id="4" name="直線コネクタ 3">
          <a:extLst>
            <a:ext uri="{FF2B5EF4-FFF2-40B4-BE49-F238E27FC236}">
              <a16:creationId xmlns:a16="http://schemas.microsoft.com/office/drawing/2014/main" id="{16FCD2DD-8F0D-4F39-9EAE-8B85045E12E9}"/>
            </a:ext>
          </a:extLst>
        </xdr:cNvPr>
        <xdr:cNvCxnSpPr/>
      </xdr:nvCxnSpPr>
      <xdr:spPr>
        <a:xfrm flipH="1">
          <a:off x="8414657" y="1393371"/>
          <a:ext cx="1700075" cy="849086"/>
        </a:xfrm>
        <a:prstGeom prst="line">
          <a:avLst/>
        </a:prstGeom>
        <a:ln>
          <a:solidFill>
            <a:schemeClr val="tx1"/>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1950447</xdr:colOff>
      <xdr:row>7</xdr:row>
      <xdr:rowOff>165191</xdr:rowOff>
    </xdr:from>
    <xdr:to>
      <xdr:col>9</xdr:col>
      <xdr:colOff>106952</xdr:colOff>
      <xdr:row>10</xdr:row>
      <xdr:rowOff>58239</xdr:rowOff>
    </xdr:to>
    <xdr:sp macro="" textlink="">
      <xdr:nvSpPr>
        <xdr:cNvPr id="8" name="楕円 7">
          <a:extLst>
            <a:ext uri="{FF2B5EF4-FFF2-40B4-BE49-F238E27FC236}">
              <a16:creationId xmlns:a16="http://schemas.microsoft.com/office/drawing/2014/main" id="{FD0697DD-4006-CC99-E714-F773E9ED189A}"/>
            </a:ext>
          </a:extLst>
        </xdr:cNvPr>
        <xdr:cNvSpPr/>
      </xdr:nvSpPr>
      <xdr:spPr>
        <a:xfrm>
          <a:off x="2753268" y="2111012"/>
          <a:ext cx="7831184" cy="831941"/>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176893</xdr:colOff>
      <xdr:row>0</xdr:row>
      <xdr:rowOff>54156</xdr:rowOff>
    </xdr:from>
    <xdr:to>
      <xdr:col>19</xdr:col>
      <xdr:colOff>94978</xdr:colOff>
      <xdr:row>3</xdr:row>
      <xdr:rowOff>132533</xdr:rowOff>
    </xdr:to>
    <xdr:sp macro="" textlink="">
      <xdr:nvSpPr>
        <xdr:cNvPr id="6" name="テキスト ボックス 5">
          <a:extLst>
            <a:ext uri="{FF2B5EF4-FFF2-40B4-BE49-F238E27FC236}">
              <a16:creationId xmlns:a16="http://schemas.microsoft.com/office/drawing/2014/main" id="{44B8DF65-4FC4-C3DF-C622-CA88D395986A}"/>
            </a:ext>
          </a:extLst>
        </xdr:cNvPr>
        <xdr:cNvSpPr txBox="1"/>
      </xdr:nvSpPr>
      <xdr:spPr>
        <a:xfrm>
          <a:off x="15879536" y="54156"/>
          <a:ext cx="1714228" cy="745127"/>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ysClr val="windowText" lastClr="000000"/>
              </a:solidFill>
            </a:rPr>
            <a:t>給与</a:t>
          </a:r>
        </a:p>
      </xdr:txBody>
    </xdr:sp>
    <xdr:clientData/>
  </xdr:twoCellAnchor>
  <xdr:twoCellAnchor>
    <xdr:from>
      <xdr:col>9</xdr:col>
      <xdr:colOff>163285</xdr:colOff>
      <xdr:row>0</xdr:row>
      <xdr:rowOff>27214</xdr:rowOff>
    </xdr:from>
    <xdr:to>
      <xdr:col>17</xdr:col>
      <xdr:colOff>410390</xdr:colOff>
      <xdr:row>3</xdr:row>
      <xdr:rowOff>0</xdr:rowOff>
    </xdr:to>
    <xdr:sp macro="" textlink="">
      <xdr:nvSpPr>
        <xdr:cNvPr id="5" name="テキスト ボックス 4">
          <a:extLst>
            <a:ext uri="{FF2B5EF4-FFF2-40B4-BE49-F238E27FC236}">
              <a16:creationId xmlns:a16="http://schemas.microsoft.com/office/drawing/2014/main" id="{BF7D0356-1C20-43F6-A89A-927DD0D3C5DA}"/>
            </a:ext>
          </a:extLst>
        </xdr:cNvPr>
        <xdr:cNvSpPr txBox="1"/>
      </xdr:nvSpPr>
      <xdr:spPr>
        <a:xfrm>
          <a:off x="10640785" y="27214"/>
          <a:ext cx="5472248" cy="639536"/>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灰色の項目は総表シートの入力情報が自動反映されます。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133350</xdr:colOff>
      <xdr:row>17</xdr:row>
      <xdr:rowOff>358927</xdr:rowOff>
    </xdr:from>
    <xdr:to>
      <xdr:col>13</xdr:col>
      <xdr:colOff>552450</xdr:colOff>
      <xdr:row>17</xdr:row>
      <xdr:rowOff>358927</xdr:rowOff>
    </xdr:to>
    <xdr:cxnSp macro="">
      <xdr:nvCxnSpPr>
        <xdr:cNvPr id="32" name="直線矢印コネクタ 31">
          <a:extLst>
            <a:ext uri="{FF2B5EF4-FFF2-40B4-BE49-F238E27FC236}">
              <a16:creationId xmlns:a16="http://schemas.microsoft.com/office/drawing/2014/main" id="{275E7F33-BB47-4830-B1F5-A4A850EE0CDC}"/>
            </a:ext>
          </a:extLst>
        </xdr:cNvPr>
        <xdr:cNvCxnSpPr/>
      </xdr:nvCxnSpPr>
      <xdr:spPr>
        <a:xfrm>
          <a:off x="12216493" y="12646177"/>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40822</xdr:colOff>
      <xdr:row>9</xdr:row>
      <xdr:rowOff>285749</xdr:rowOff>
    </xdr:from>
    <xdr:to>
      <xdr:col>10</xdr:col>
      <xdr:colOff>163286</xdr:colOff>
      <xdr:row>17</xdr:row>
      <xdr:rowOff>639535</xdr:rowOff>
    </xdr:to>
    <xdr:sp macro="" textlink="">
      <xdr:nvSpPr>
        <xdr:cNvPr id="37" name="右大かっこ 36">
          <a:extLst>
            <a:ext uri="{FF2B5EF4-FFF2-40B4-BE49-F238E27FC236}">
              <a16:creationId xmlns:a16="http://schemas.microsoft.com/office/drawing/2014/main" id="{8F74FDAD-251C-48F0-B376-A569896D5B15}"/>
            </a:ext>
          </a:extLst>
        </xdr:cNvPr>
        <xdr:cNvSpPr/>
      </xdr:nvSpPr>
      <xdr:spPr>
        <a:xfrm>
          <a:off x="9987643" y="3837213"/>
          <a:ext cx="122464" cy="3197679"/>
        </a:xfrm>
        <a:prstGeom prst="rightBracket">
          <a:avLst>
            <a:gd name="adj" fmla="val 1152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170906</xdr:colOff>
      <xdr:row>17</xdr:row>
      <xdr:rowOff>287928</xdr:rowOff>
    </xdr:from>
    <xdr:to>
      <xdr:col>11</xdr:col>
      <xdr:colOff>559798</xdr:colOff>
      <xdr:row>17</xdr:row>
      <xdr:rowOff>287928</xdr:rowOff>
    </xdr:to>
    <xdr:cxnSp macro="">
      <xdr:nvCxnSpPr>
        <xdr:cNvPr id="38" name="直線矢印コネクタ 37">
          <a:extLst>
            <a:ext uri="{FF2B5EF4-FFF2-40B4-BE49-F238E27FC236}">
              <a16:creationId xmlns:a16="http://schemas.microsoft.com/office/drawing/2014/main" id="{EC4FE176-B6ED-4C47-9BFA-9148CDC7A3AC}"/>
            </a:ext>
          </a:extLst>
        </xdr:cNvPr>
        <xdr:cNvCxnSpPr/>
      </xdr:nvCxnSpPr>
      <xdr:spPr>
        <a:xfrm>
          <a:off x="10117727" y="6683285"/>
          <a:ext cx="633821"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814218</xdr:colOff>
      <xdr:row>0</xdr:row>
      <xdr:rowOff>56030</xdr:rowOff>
    </xdr:from>
    <xdr:to>
      <xdr:col>15</xdr:col>
      <xdr:colOff>66929</xdr:colOff>
      <xdr:row>0</xdr:row>
      <xdr:rowOff>824017</xdr:rowOff>
    </xdr:to>
    <xdr:sp macro="" textlink="">
      <xdr:nvSpPr>
        <xdr:cNvPr id="2" name="テキスト ボックス 1">
          <a:extLst>
            <a:ext uri="{FF2B5EF4-FFF2-40B4-BE49-F238E27FC236}">
              <a16:creationId xmlns:a16="http://schemas.microsoft.com/office/drawing/2014/main" id="{E948C583-248F-4DDE-AC9F-B2A60A654996}"/>
            </a:ext>
          </a:extLst>
        </xdr:cNvPr>
        <xdr:cNvSpPr txBox="1"/>
      </xdr:nvSpPr>
      <xdr:spPr>
        <a:xfrm>
          <a:off x="11672718" y="56030"/>
          <a:ext cx="1852476" cy="767987"/>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ysClr val="windowText" lastClr="000000"/>
              </a:solidFill>
            </a:rPr>
            <a:t>公的年金等</a:t>
          </a:r>
        </a:p>
      </xdr:txBody>
    </xdr:sp>
    <xdr:clientData/>
  </xdr:twoCellAnchor>
  <xdr:twoCellAnchor>
    <xdr:from>
      <xdr:col>2</xdr:col>
      <xdr:colOff>1948542</xdr:colOff>
      <xdr:row>7</xdr:row>
      <xdr:rowOff>163286</xdr:rowOff>
    </xdr:from>
    <xdr:to>
      <xdr:col>9</xdr:col>
      <xdr:colOff>108857</xdr:colOff>
      <xdr:row>10</xdr:row>
      <xdr:rowOff>54429</xdr:rowOff>
    </xdr:to>
    <xdr:sp macro="" textlink="">
      <xdr:nvSpPr>
        <xdr:cNvPr id="3" name="楕円 2">
          <a:extLst>
            <a:ext uri="{FF2B5EF4-FFF2-40B4-BE49-F238E27FC236}">
              <a16:creationId xmlns:a16="http://schemas.microsoft.com/office/drawing/2014/main" id="{3037110B-3A15-4EDC-8E41-80A1917A5E19}"/>
            </a:ext>
          </a:extLst>
        </xdr:cNvPr>
        <xdr:cNvSpPr/>
      </xdr:nvSpPr>
      <xdr:spPr>
        <a:xfrm>
          <a:off x="2750547" y="2127341"/>
          <a:ext cx="7795805" cy="826498"/>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57583</xdr:colOff>
      <xdr:row>6</xdr:row>
      <xdr:rowOff>65328</xdr:rowOff>
    </xdr:from>
    <xdr:to>
      <xdr:col>14</xdr:col>
      <xdr:colOff>1045957</xdr:colOff>
      <xdr:row>9</xdr:row>
      <xdr:rowOff>205515</xdr:rowOff>
    </xdr:to>
    <xdr:sp macro="" textlink="">
      <xdr:nvSpPr>
        <xdr:cNvPr id="4" name="テキスト ボックス 3">
          <a:extLst>
            <a:ext uri="{FF2B5EF4-FFF2-40B4-BE49-F238E27FC236}">
              <a16:creationId xmlns:a16="http://schemas.microsoft.com/office/drawing/2014/main" id="{8F3BB9A5-1870-4761-B96B-06ED2CBD6F1A}"/>
            </a:ext>
          </a:extLst>
        </xdr:cNvPr>
        <xdr:cNvSpPr txBox="1"/>
      </xdr:nvSpPr>
      <xdr:spPr>
        <a:xfrm>
          <a:off x="9997201" y="2743534"/>
          <a:ext cx="3666580" cy="113751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収入証明書類を３か月分提出する場合は</a:t>
          </a:r>
          <a:endParaRPr kumimoji="1" lang="en-US" altLang="ja-JP" sz="1400"/>
        </a:p>
        <a:p>
          <a:pPr algn="l"/>
          <a:r>
            <a:rPr kumimoji="1" lang="ja-JP" altLang="en-US" sz="1400"/>
            <a:t>３列目までを、６か月分提出する場合は</a:t>
          </a:r>
          <a:endParaRPr kumimoji="1" lang="en-US" altLang="ja-JP" sz="1400"/>
        </a:p>
        <a:p>
          <a:pPr algn="l"/>
          <a:r>
            <a:rPr kumimoji="1" lang="ja-JP" altLang="en-US" sz="1400"/>
            <a:t>６列目までを記載してください。</a:t>
          </a:r>
        </a:p>
      </xdr:txBody>
    </xdr:sp>
    <xdr:clientData/>
  </xdr:twoCellAnchor>
  <xdr:twoCellAnchor>
    <xdr:from>
      <xdr:col>8</xdr:col>
      <xdr:colOff>806823</xdr:colOff>
      <xdr:row>6</xdr:row>
      <xdr:rowOff>322696</xdr:rowOff>
    </xdr:from>
    <xdr:to>
      <xdr:col>10</xdr:col>
      <xdr:colOff>37170</xdr:colOff>
      <xdr:row>8</xdr:row>
      <xdr:rowOff>56030</xdr:rowOff>
    </xdr:to>
    <xdr:cxnSp macro="">
      <xdr:nvCxnSpPr>
        <xdr:cNvPr id="5" name="直線コネクタ 4">
          <a:extLst>
            <a:ext uri="{FF2B5EF4-FFF2-40B4-BE49-F238E27FC236}">
              <a16:creationId xmlns:a16="http://schemas.microsoft.com/office/drawing/2014/main" id="{E449C31A-FDAF-4CB1-B40A-5A3EA6B638C0}"/>
            </a:ext>
          </a:extLst>
        </xdr:cNvPr>
        <xdr:cNvCxnSpPr/>
      </xdr:nvCxnSpPr>
      <xdr:spPr>
        <a:xfrm flipH="1">
          <a:off x="8819029" y="3000902"/>
          <a:ext cx="1157759" cy="439304"/>
        </a:xfrm>
        <a:prstGeom prst="line">
          <a:avLst/>
        </a:prstGeom>
        <a:ln>
          <a:solidFill>
            <a:schemeClr val="tx1"/>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149486</xdr:colOff>
      <xdr:row>0</xdr:row>
      <xdr:rowOff>569595</xdr:rowOff>
    </xdr:from>
    <xdr:to>
      <xdr:col>11</xdr:col>
      <xdr:colOff>554770</xdr:colOff>
      <xdr:row>2</xdr:row>
      <xdr:rowOff>155778</xdr:rowOff>
    </xdr:to>
    <xdr:sp macro="" textlink="">
      <xdr:nvSpPr>
        <xdr:cNvPr id="7" name="テキスト ボックス 6">
          <a:extLst>
            <a:ext uri="{FF2B5EF4-FFF2-40B4-BE49-F238E27FC236}">
              <a16:creationId xmlns:a16="http://schemas.microsoft.com/office/drawing/2014/main" id="{641C3B64-8A9B-4DAE-97D3-3E7C8A309700}"/>
            </a:ext>
          </a:extLst>
        </xdr:cNvPr>
        <xdr:cNvSpPr txBox="1"/>
      </xdr:nvSpPr>
      <xdr:spPr>
        <a:xfrm>
          <a:off x="5270574" y="569595"/>
          <a:ext cx="5470343" cy="639536"/>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灰色の項目は総表シートの入力情報が自動反映されます。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151039</xdr:colOff>
      <xdr:row>11</xdr:row>
      <xdr:rowOff>326299</xdr:rowOff>
    </xdr:from>
    <xdr:to>
      <xdr:col>10</xdr:col>
      <xdr:colOff>570139</xdr:colOff>
      <xdr:row>11</xdr:row>
      <xdr:rowOff>326299</xdr:rowOff>
    </xdr:to>
    <xdr:cxnSp macro="">
      <xdr:nvCxnSpPr>
        <xdr:cNvPr id="8" name="直線矢印コネクタ 7">
          <a:extLst>
            <a:ext uri="{FF2B5EF4-FFF2-40B4-BE49-F238E27FC236}">
              <a16:creationId xmlns:a16="http://schemas.microsoft.com/office/drawing/2014/main" id="{7B4087B0-B41F-4E36-AB64-AA0121899DF9}"/>
            </a:ext>
          </a:extLst>
        </xdr:cNvPr>
        <xdr:cNvCxnSpPr/>
      </xdr:nvCxnSpPr>
      <xdr:spPr>
        <a:xfrm>
          <a:off x="10097860" y="3496763"/>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136071</xdr:colOff>
      <xdr:row>12</xdr:row>
      <xdr:rowOff>285750</xdr:rowOff>
    </xdr:from>
    <xdr:to>
      <xdr:col>10</xdr:col>
      <xdr:colOff>555171</xdr:colOff>
      <xdr:row>12</xdr:row>
      <xdr:rowOff>285750</xdr:rowOff>
    </xdr:to>
    <xdr:cxnSp macro="">
      <xdr:nvCxnSpPr>
        <xdr:cNvPr id="47" name="直線矢印コネクタ 46">
          <a:extLst>
            <a:ext uri="{FF2B5EF4-FFF2-40B4-BE49-F238E27FC236}">
              <a16:creationId xmlns:a16="http://schemas.microsoft.com/office/drawing/2014/main" id="{D90F6856-37C3-4876-8E23-7376FC32DB59}"/>
            </a:ext>
          </a:extLst>
        </xdr:cNvPr>
        <xdr:cNvCxnSpPr/>
      </xdr:nvCxnSpPr>
      <xdr:spPr>
        <a:xfrm>
          <a:off x="10082892" y="4000500"/>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151039</xdr:colOff>
      <xdr:row>13</xdr:row>
      <xdr:rowOff>330109</xdr:rowOff>
    </xdr:from>
    <xdr:to>
      <xdr:col>10</xdr:col>
      <xdr:colOff>570139</xdr:colOff>
      <xdr:row>13</xdr:row>
      <xdr:rowOff>330109</xdr:rowOff>
    </xdr:to>
    <xdr:cxnSp macro="">
      <xdr:nvCxnSpPr>
        <xdr:cNvPr id="48" name="直線矢印コネクタ 47">
          <a:extLst>
            <a:ext uri="{FF2B5EF4-FFF2-40B4-BE49-F238E27FC236}">
              <a16:creationId xmlns:a16="http://schemas.microsoft.com/office/drawing/2014/main" id="{4E3817CE-FF92-4BA2-AF94-65CE1AD50C09}"/>
            </a:ext>
          </a:extLst>
        </xdr:cNvPr>
        <xdr:cNvCxnSpPr/>
      </xdr:nvCxnSpPr>
      <xdr:spPr>
        <a:xfrm>
          <a:off x="10097860" y="4589145"/>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132261</xdr:colOff>
      <xdr:row>14</xdr:row>
      <xdr:rowOff>281940</xdr:rowOff>
    </xdr:from>
    <xdr:to>
      <xdr:col>10</xdr:col>
      <xdr:colOff>551361</xdr:colOff>
      <xdr:row>14</xdr:row>
      <xdr:rowOff>281940</xdr:rowOff>
    </xdr:to>
    <xdr:cxnSp macro="">
      <xdr:nvCxnSpPr>
        <xdr:cNvPr id="50" name="直線矢印コネクタ 49">
          <a:extLst>
            <a:ext uri="{FF2B5EF4-FFF2-40B4-BE49-F238E27FC236}">
              <a16:creationId xmlns:a16="http://schemas.microsoft.com/office/drawing/2014/main" id="{95BD0BBC-6527-4F42-89F6-907A87D41366}"/>
            </a:ext>
          </a:extLst>
        </xdr:cNvPr>
        <xdr:cNvCxnSpPr/>
      </xdr:nvCxnSpPr>
      <xdr:spPr>
        <a:xfrm>
          <a:off x="10079082" y="5085261"/>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151039</xdr:colOff>
      <xdr:row>15</xdr:row>
      <xdr:rowOff>330109</xdr:rowOff>
    </xdr:from>
    <xdr:to>
      <xdr:col>10</xdr:col>
      <xdr:colOff>570139</xdr:colOff>
      <xdr:row>15</xdr:row>
      <xdr:rowOff>330109</xdr:rowOff>
    </xdr:to>
    <xdr:cxnSp macro="">
      <xdr:nvCxnSpPr>
        <xdr:cNvPr id="56" name="直線矢印コネクタ 55">
          <a:extLst>
            <a:ext uri="{FF2B5EF4-FFF2-40B4-BE49-F238E27FC236}">
              <a16:creationId xmlns:a16="http://schemas.microsoft.com/office/drawing/2014/main" id="{EA7E3657-9B60-4215-BE9F-3B352DD4C5F4}"/>
            </a:ext>
          </a:extLst>
        </xdr:cNvPr>
        <xdr:cNvCxnSpPr/>
      </xdr:nvCxnSpPr>
      <xdr:spPr>
        <a:xfrm>
          <a:off x="10097860" y="5677716"/>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132261</xdr:colOff>
      <xdr:row>17</xdr:row>
      <xdr:rowOff>281940</xdr:rowOff>
    </xdr:from>
    <xdr:to>
      <xdr:col>10</xdr:col>
      <xdr:colOff>551361</xdr:colOff>
      <xdr:row>17</xdr:row>
      <xdr:rowOff>281940</xdr:rowOff>
    </xdr:to>
    <xdr:cxnSp macro="">
      <xdr:nvCxnSpPr>
        <xdr:cNvPr id="58" name="直線矢印コネクタ 57">
          <a:extLst>
            <a:ext uri="{FF2B5EF4-FFF2-40B4-BE49-F238E27FC236}">
              <a16:creationId xmlns:a16="http://schemas.microsoft.com/office/drawing/2014/main" id="{92BCC402-5554-4320-855A-5F92280DA312}"/>
            </a:ext>
          </a:extLst>
        </xdr:cNvPr>
        <xdr:cNvCxnSpPr/>
      </xdr:nvCxnSpPr>
      <xdr:spPr>
        <a:xfrm>
          <a:off x="10079082" y="6514011"/>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132261</xdr:colOff>
      <xdr:row>18</xdr:row>
      <xdr:rowOff>281940</xdr:rowOff>
    </xdr:from>
    <xdr:to>
      <xdr:col>10</xdr:col>
      <xdr:colOff>551361</xdr:colOff>
      <xdr:row>18</xdr:row>
      <xdr:rowOff>281940</xdr:rowOff>
    </xdr:to>
    <xdr:cxnSp macro="">
      <xdr:nvCxnSpPr>
        <xdr:cNvPr id="62" name="直線矢印コネクタ 61">
          <a:extLst>
            <a:ext uri="{FF2B5EF4-FFF2-40B4-BE49-F238E27FC236}">
              <a16:creationId xmlns:a16="http://schemas.microsoft.com/office/drawing/2014/main" id="{DDC12D95-0576-4BE4-873D-83153583012F}"/>
            </a:ext>
          </a:extLst>
        </xdr:cNvPr>
        <xdr:cNvCxnSpPr/>
      </xdr:nvCxnSpPr>
      <xdr:spPr>
        <a:xfrm>
          <a:off x="10079082" y="7602583"/>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219075</xdr:colOff>
      <xdr:row>20</xdr:row>
      <xdr:rowOff>316502</xdr:rowOff>
    </xdr:from>
    <xdr:to>
      <xdr:col>12</xdr:col>
      <xdr:colOff>638175</xdr:colOff>
      <xdr:row>20</xdr:row>
      <xdr:rowOff>316502</xdr:rowOff>
    </xdr:to>
    <xdr:cxnSp macro="">
      <xdr:nvCxnSpPr>
        <xdr:cNvPr id="69" name="直線矢印コネクタ 68">
          <a:extLst>
            <a:ext uri="{FF2B5EF4-FFF2-40B4-BE49-F238E27FC236}">
              <a16:creationId xmlns:a16="http://schemas.microsoft.com/office/drawing/2014/main" id="{8F13081D-E065-44F6-BFB9-3AE4B76337CC}"/>
            </a:ext>
          </a:extLst>
        </xdr:cNvPr>
        <xdr:cNvCxnSpPr/>
      </xdr:nvCxnSpPr>
      <xdr:spPr>
        <a:xfrm>
          <a:off x="11796849" y="14539776"/>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132261</xdr:colOff>
      <xdr:row>20</xdr:row>
      <xdr:rowOff>281940</xdr:rowOff>
    </xdr:from>
    <xdr:to>
      <xdr:col>10</xdr:col>
      <xdr:colOff>551361</xdr:colOff>
      <xdr:row>20</xdr:row>
      <xdr:rowOff>281940</xdr:rowOff>
    </xdr:to>
    <xdr:cxnSp macro="">
      <xdr:nvCxnSpPr>
        <xdr:cNvPr id="70" name="直線矢印コネクタ 69">
          <a:extLst>
            <a:ext uri="{FF2B5EF4-FFF2-40B4-BE49-F238E27FC236}">
              <a16:creationId xmlns:a16="http://schemas.microsoft.com/office/drawing/2014/main" id="{2C9BA346-B5C2-46A2-A63D-1151BEA1C688}"/>
            </a:ext>
          </a:extLst>
        </xdr:cNvPr>
        <xdr:cNvCxnSpPr/>
      </xdr:nvCxnSpPr>
      <xdr:spPr>
        <a:xfrm>
          <a:off x="10079082" y="8691154"/>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31023</xdr:colOff>
      <xdr:row>10</xdr:row>
      <xdr:rowOff>68037</xdr:rowOff>
    </xdr:from>
    <xdr:to>
      <xdr:col>12</xdr:col>
      <xdr:colOff>204107</xdr:colOff>
      <xdr:row>21</xdr:row>
      <xdr:rowOff>50347</xdr:rowOff>
    </xdr:to>
    <xdr:sp macro="" textlink="">
      <xdr:nvSpPr>
        <xdr:cNvPr id="71" name="右大かっこ 70">
          <a:extLst>
            <a:ext uri="{FF2B5EF4-FFF2-40B4-BE49-F238E27FC236}">
              <a16:creationId xmlns:a16="http://schemas.microsoft.com/office/drawing/2014/main" id="{8FF31868-D359-4B35-8FFE-9B1C6DC331EA}"/>
            </a:ext>
          </a:extLst>
        </xdr:cNvPr>
        <xdr:cNvSpPr/>
      </xdr:nvSpPr>
      <xdr:spPr>
        <a:xfrm>
          <a:off x="11610702" y="2952751"/>
          <a:ext cx="173084" cy="6051096"/>
        </a:xfrm>
        <a:prstGeom prst="rightBracket">
          <a:avLst>
            <a:gd name="adj" fmla="val 1152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132261</xdr:colOff>
      <xdr:row>19</xdr:row>
      <xdr:rowOff>281940</xdr:rowOff>
    </xdr:from>
    <xdr:to>
      <xdr:col>10</xdr:col>
      <xdr:colOff>551361</xdr:colOff>
      <xdr:row>19</xdr:row>
      <xdr:rowOff>281940</xdr:rowOff>
    </xdr:to>
    <xdr:cxnSp macro="">
      <xdr:nvCxnSpPr>
        <xdr:cNvPr id="18" name="直線矢印コネクタ 17">
          <a:extLst>
            <a:ext uri="{FF2B5EF4-FFF2-40B4-BE49-F238E27FC236}">
              <a16:creationId xmlns:a16="http://schemas.microsoft.com/office/drawing/2014/main" id="{3F4979BB-06BC-4EFF-8C1A-487FB9234099}"/>
            </a:ext>
          </a:extLst>
        </xdr:cNvPr>
        <xdr:cNvCxnSpPr/>
      </xdr:nvCxnSpPr>
      <xdr:spPr>
        <a:xfrm>
          <a:off x="10079082" y="8146869"/>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123551</xdr:colOff>
      <xdr:row>4</xdr:row>
      <xdr:rowOff>28849</xdr:rowOff>
    </xdr:from>
    <xdr:to>
      <xdr:col>14</xdr:col>
      <xdr:colOff>54426</xdr:colOff>
      <xdr:row>7</xdr:row>
      <xdr:rowOff>13609</xdr:rowOff>
    </xdr:to>
    <xdr:sp macro="" textlink="">
      <xdr:nvSpPr>
        <xdr:cNvPr id="2" name="テキスト ボックス 1">
          <a:extLst>
            <a:ext uri="{FF2B5EF4-FFF2-40B4-BE49-F238E27FC236}">
              <a16:creationId xmlns:a16="http://schemas.microsoft.com/office/drawing/2014/main" id="{558836BF-D246-470A-AB06-68CADDC650C0}"/>
            </a:ext>
          </a:extLst>
        </xdr:cNvPr>
        <xdr:cNvSpPr txBox="1"/>
      </xdr:nvSpPr>
      <xdr:spPr>
        <a:xfrm>
          <a:off x="8138158" y="1185456"/>
          <a:ext cx="5128804" cy="77397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収入証明書類を３か月分提出する場合は３列目までを、</a:t>
          </a:r>
          <a:endParaRPr kumimoji="1" lang="en-US" altLang="ja-JP" sz="1400"/>
        </a:p>
        <a:p>
          <a:pPr algn="l"/>
          <a:r>
            <a:rPr kumimoji="1" lang="ja-JP" altLang="en-US" sz="1400"/>
            <a:t>６か月分提出する場合は６列目までを記載してください。</a:t>
          </a:r>
        </a:p>
      </xdr:txBody>
    </xdr:sp>
    <xdr:clientData/>
  </xdr:twoCellAnchor>
  <xdr:twoCellAnchor>
    <xdr:from>
      <xdr:col>7</xdr:col>
      <xdr:colOff>512988</xdr:colOff>
      <xdr:row>4</xdr:row>
      <xdr:rowOff>415836</xdr:rowOff>
    </xdr:from>
    <xdr:to>
      <xdr:col>8</xdr:col>
      <xdr:colOff>123551</xdr:colOff>
      <xdr:row>7</xdr:row>
      <xdr:rowOff>208190</xdr:rowOff>
    </xdr:to>
    <xdr:cxnSp macro="">
      <xdr:nvCxnSpPr>
        <xdr:cNvPr id="3" name="直線コネクタ 2">
          <a:extLst>
            <a:ext uri="{FF2B5EF4-FFF2-40B4-BE49-F238E27FC236}">
              <a16:creationId xmlns:a16="http://schemas.microsoft.com/office/drawing/2014/main" id="{BB3DB4E1-A4B3-4C5B-BAE3-16607D17E6B5}"/>
            </a:ext>
          </a:extLst>
        </xdr:cNvPr>
        <xdr:cNvCxnSpPr>
          <a:stCxn id="2" idx="1"/>
        </xdr:cNvCxnSpPr>
      </xdr:nvCxnSpPr>
      <xdr:spPr>
        <a:xfrm flipH="1">
          <a:off x="7561488" y="1572443"/>
          <a:ext cx="576670" cy="581568"/>
        </a:xfrm>
        <a:prstGeom prst="line">
          <a:avLst/>
        </a:prstGeom>
        <a:ln>
          <a:solidFill>
            <a:schemeClr val="tx1"/>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2002971</xdr:colOff>
      <xdr:row>7</xdr:row>
      <xdr:rowOff>185057</xdr:rowOff>
    </xdr:from>
    <xdr:to>
      <xdr:col>9</xdr:col>
      <xdr:colOff>163286</xdr:colOff>
      <xdr:row>10</xdr:row>
      <xdr:rowOff>76200</xdr:rowOff>
    </xdr:to>
    <xdr:sp macro="" textlink="">
      <xdr:nvSpPr>
        <xdr:cNvPr id="5" name="楕円 4">
          <a:extLst>
            <a:ext uri="{FF2B5EF4-FFF2-40B4-BE49-F238E27FC236}">
              <a16:creationId xmlns:a16="http://schemas.microsoft.com/office/drawing/2014/main" id="{5AAA366A-725F-4AC4-884A-B2EFD5DB05D2}"/>
            </a:ext>
          </a:extLst>
        </xdr:cNvPr>
        <xdr:cNvSpPr/>
      </xdr:nvSpPr>
      <xdr:spPr>
        <a:xfrm>
          <a:off x="2819400" y="2166257"/>
          <a:ext cx="6281057" cy="805543"/>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839833</xdr:colOff>
      <xdr:row>0</xdr:row>
      <xdr:rowOff>29118</xdr:rowOff>
    </xdr:from>
    <xdr:to>
      <xdr:col>14</xdr:col>
      <xdr:colOff>93344</xdr:colOff>
      <xdr:row>3</xdr:row>
      <xdr:rowOff>128450</xdr:rowOff>
    </xdr:to>
    <xdr:sp macro="" textlink="">
      <xdr:nvSpPr>
        <xdr:cNvPr id="4" name="テキスト ボックス 3">
          <a:extLst>
            <a:ext uri="{FF2B5EF4-FFF2-40B4-BE49-F238E27FC236}">
              <a16:creationId xmlns:a16="http://schemas.microsoft.com/office/drawing/2014/main" id="{6B075892-6575-472C-97D5-0A0EA06B2D52}"/>
            </a:ext>
          </a:extLst>
        </xdr:cNvPr>
        <xdr:cNvSpPr txBox="1"/>
      </xdr:nvSpPr>
      <xdr:spPr>
        <a:xfrm>
          <a:off x="11453404" y="29118"/>
          <a:ext cx="1852476" cy="766082"/>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ysClr val="windowText" lastClr="000000"/>
              </a:solidFill>
            </a:rPr>
            <a:t>その他</a:t>
          </a:r>
        </a:p>
      </xdr:txBody>
    </xdr:sp>
    <xdr:clientData/>
  </xdr:twoCellAnchor>
  <xdr:twoCellAnchor>
    <xdr:from>
      <xdr:col>5</xdr:col>
      <xdr:colOff>102870</xdr:colOff>
      <xdr:row>0</xdr:row>
      <xdr:rowOff>173355</xdr:rowOff>
    </xdr:from>
    <xdr:to>
      <xdr:col>11</xdr:col>
      <xdr:colOff>92528</xdr:colOff>
      <xdr:row>3</xdr:row>
      <xdr:rowOff>140426</xdr:rowOff>
    </xdr:to>
    <xdr:sp macro="" textlink="">
      <xdr:nvSpPr>
        <xdr:cNvPr id="7" name="テキスト ボックス 6">
          <a:extLst>
            <a:ext uri="{FF2B5EF4-FFF2-40B4-BE49-F238E27FC236}">
              <a16:creationId xmlns:a16="http://schemas.microsoft.com/office/drawing/2014/main" id="{57AF0658-1C5C-4AE2-9AEE-31E13994693E}"/>
            </a:ext>
          </a:extLst>
        </xdr:cNvPr>
        <xdr:cNvSpPr txBox="1"/>
      </xdr:nvSpPr>
      <xdr:spPr>
        <a:xfrm>
          <a:off x="5208270" y="173355"/>
          <a:ext cx="5466533" cy="633821"/>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灰色の項目は総表シートの入力情報が自動反映されます。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122464</xdr:colOff>
      <xdr:row>13</xdr:row>
      <xdr:rowOff>101238</xdr:rowOff>
    </xdr:from>
    <xdr:to>
      <xdr:col>14</xdr:col>
      <xdr:colOff>15511</xdr:colOff>
      <xdr:row>19</xdr:row>
      <xdr:rowOff>0</xdr:rowOff>
    </xdr:to>
    <xdr:sp macro="" textlink="">
      <xdr:nvSpPr>
        <xdr:cNvPr id="2" name="テキスト ボックス 1">
          <a:extLst>
            <a:ext uri="{FF2B5EF4-FFF2-40B4-BE49-F238E27FC236}">
              <a16:creationId xmlns:a16="http://schemas.microsoft.com/office/drawing/2014/main" id="{57262C64-7009-4859-873B-D9BB33D5F745}"/>
            </a:ext>
          </a:extLst>
        </xdr:cNvPr>
        <xdr:cNvSpPr txBox="1"/>
      </xdr:nvSpPr>
      <xdr:spPr>
        <a:xfrm>
          <a:off x="9062357" y="4890952"/>
          <a:ext cx="4124868" cy="316447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留意点</a:t>
          </a:r>
          <a:r>
            <a:rPr kumimoji="1" lang="en-US" altLang="ja-JP" sz="1400"/>
            <a:t>】</a:t>
          </a:r>
        </a:p>
        <a:p>
          <a:pPr algn="l"/>
          <a:r>
            <a:rPr kumimoji="1" lang="en-US" altLang="ja-JP" sz="1400"/>
            <a:t>※</a:t>
          </a:r>
          <a:r>
            <a:rPr kumimoji="1" lang="ja-JP" altLang="en-US" sz="1400"/>
            <a:t>本様式は所得の種類ごとに作成が必要です。</a:t>
          </a:r>
        </a:p>
        <a:p>
          <a:pPr algn="l"/>
          <a:r>
            <a:rPr kumimoji="1" lang="en-US" altLang="ja-JP" sz="1400"/>
            <a:t>※</a:t>
          </a:r>
          <a:r>
            <a:rPr kumimoji="1" lang="ja-JP" altLang="en-US" sz="1400"/>
            <a:t>審査は所得（売上－経費）で行います。そのため、帳簿から転記した売上・経費が分かるよう帳簿の該当箇所に印を付けてください。</a:t>
          </a:r>
        </a:p>
        <a:p>
          <a:pPr algn="l"/>
          <a:r>
            <a:rPr kumimoji="1" lang="en-US" altLang="ja-JP" sz="1400"/>
            <a:t>※</a:t>
          </a:r>
          <a:r>
            <a:rPr kumimoji="1" lang="ja-JP" altLang="en-US" sz="1400"/>
            <a:t>帳簿を提出する場合は、家計急変者ごとに作成が必要です。</a:t>
          </a:r>
        </a:p>
        <a:p>
          <a:pPr algn="l"/>
          <a:r>
            <a:rPr kumimoji="1" lang="en-US" altLang="ja-JP" sz="1400"/>
            <a:t>※</a:t>
          </a:r>
          <a:r>
            <a:rPr kumimoji="1" lang="ja-JP" altLang="en-US" sz="1400"/>
            <a:t>専従者給与、役員報酬は給与所得になりますので帳簿の提出は不要です。</a:t>
          </a:r>
        </a:p>
      </xdr:txBody>
    </xdr:sp>
    <xdr:clientData/>
  </xdr:twoCellAnchor>
  <xdr:twoCellAnchor>
    <xdr:from>
      <xdr:col>11</xdr:col>
      <xdr:colOff>822687</xdr:colOff>
      <xdr:row>0</xdr:row>
      <xdr:rowOff>50347</xdr:rowOff>
    </xdr:from>
    <xdr:to>
      <xdr:col>14</xdr:col>
      <xdr:colOff>95248</xdr:colOff>
      <xdr:row>0</xdr:row>
      <xdr:rowOff>797379</xdr:rowOff>
    </xdr:to>
    <xdr:sp macro="" textlink="">
      <xdr:nvSpPr>
        <xdr:cNvPr id="3" name="テキスト ボックス 2">
          <a:extLst>
            <a:ext uri="{FF2B5EF4-FFF2-40B4-BE49-F238E27FC236}">
              <a16:creationId xmlns:a16="http://schemas.microsoft.com/office/drawing/2014/main" id="{8DFA6F71-56C8-4D89-BA7F-FE4089CEAF6A}"/>
            </a:ext>
          </a:extLst>
        </xdr:cNvPr>
        <xdr:cNvSpPr txBox="1"/>
      </xdr:nvSpPr>
      <xdr:spPr>
        <a:xfrm>
          <a:off x="11395437" y="50347"/>
          <a:ext cx="1871525" cy="747032"/>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恒常的な所得</a:t>
          </a:r>
        </a:p>
      </xdr:txBody>
    </xdr:sp>
    <xdr:clientData/>
  </xdr:twoCellAnchor>
  <xdr:twoCellAnchor>
    <xdr:from>
      <xdr:col>9</xdr:col>
      <xdr:colOff>130356</xdr:colOff>
      <xdr:row>8</xdr:row>
      <xdr:rowOff>99060</xdr:rowOff>
    </xdr:from>
    <xdr:to>
      <xdr:col>14</xdr:col>
      <xdr:colOff>36738</xdr:colOff>
      <xdr:row>12</xdr:row>
      <xdr:rowOff>324392</xdr:rowOff>
    </xdr:to>
    <xdr:sp macro="" textlink="">
      <xdr:nvSpPr>
        <xdr:cNvPr id="4" name="テキスト ボックス 3">
          <a:extLst>
            <a:ext uri="{FF2B5EF4-FFF2-40B4-BE49-F238E27FC236}">
              <a16:creationId xmlns:a16="http://schemas.microsoft.com/office/drawing/2014/main" id="{362DEF4A-D734-4C64-9E3A-6603DA8E75A1}"/>
            </a:ext>
          </a:extLst>
        </xdr:cNvPr>
        <xdr:cNvSpPr txBox="1"/>
      </xdr:nvSpPr>
      <xdr:spPr>
        <a:xfrm>
          <a:off x="9070249" y="3650524"/>
          <a:ext cx="4138203" cy="113701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別紙</a:t>
          </a:r>
          <a:r>
            <a:rPr kumimoji="1" lang="en-US" altLang="ja-JP" sz="1400">
              <a:solidFill>
                <a:sysClr val="windowText" lastClr="000000"/>
              </a:solidFill>
              <a:latin typeface="+mn-ea"/>
              <a:ea typeface="+mn-ea"/>
            </a:rPr>
            <a:t>3-1</a:t>
          </a:r>
          <a:r>
            <a:rPr kumimoji="1" lang="ja-JP" altLang="en-US" sz="1400">
              <a:solidFill>
                <a:sysClr val="windowText" lastClr="000000"/>
              </a:solidFill>
              <a:latin typeface="+mn-ea"/>
              <a:ea typeface="+mn-ea"/>
            </a:rPr>
            <a:t>で申告する所得の種類</a:t>
          </a:r>
          <a:r>
            <a:rPr kumimoji="1" lang="en-US" altLang="ja-JP" sz="1400">
              <a:solidFill>
                <a:sysClr val="windowText" lastClr="000000"/>
              </a:solidFill>
              <a:latin typeface="+mn-ea"/>
              <a:ea typeface="+mn-ea"/>
            </a:rPr>
            <a:t>】</a:t>
          </a:r>
        </a:p>
        <a:p>
          <a:pPr algn="l"/>
          <a:r>
            <a:rPr kumimoji="1" lang="ja-JP" altLang="en-US" sz="1400">
              <a:solidFill>
                <a:sysClr val="windowText" lastClr="000000"/>
              </a:solidFill>
              <a:latin typeface="+mn-ea"/>
              <a:ea typeface="+mn-ea"/>
            </a:rPr>
            <a:t>　①事業所得、②不動産所得、③利子所得、</a:t>
          </a:r>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　④配当所得、⑤業務に係る雑所得</a:t>
          </a:r>
        </a:p>
      </xdr:txBody>
    </xdr:sp>
    <xdr:clientData/>
  </xdr:twoCellAnchor>
  <xdr:twoCellAnchor>
    <xdr:from>
      <xdr:col>6</xdr:col>
      <xdr:colOff>431316</xdr:colOff>
      <xdr:row>0</xdr:row>
      <xdr:rowOff>631340</xdr:rowOff>
    </xdr:from>
    <xdr:to>
      <xdr:col>12</xdr:col>
      <xdr:colOff>532360</xdr:colOff>
      <xdr:row>2</xdr:row>
      <xdr:rowOff>75657</xdr:rowOff>
    </xdr:to>
    <xdr:sp macro="" textlink="">
      <xdr:nvSpPr>
        <xdr:cNvPr id="5" name="テキスト ボックス 4">
          <a:extLst>
            <a:ext uri="{FF2B5EF4-FFF2-40B4-BE49-F238E27FC236}">
              <a16:creationId xmlns:a16="http://schemas.microsoft.com/office/drawing/2014/main" id="{7D558846-ABAE-4FE3-969D-8B9F554C5040}"/>
            </a:ext>
          </a:extLst>
        </xdr:cNvPr>
        <xdr:cNvSpPr txBox="1"/>
      </xdr:nvSpPr>
      <xdr:spPr>
        <a:xfrm>
          <a:off x="6594551" y="631340"/>
          <a:ext cx="5479868" cy="643346"/>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灰色の項目は総表シートの入力情報が自動反映されます。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855345</xdr:colOff>
      <xdr:row>0</xdr:row>
      <xdr:rowOff>46536</xdr:rowOff>
    </xdr:from>
    <xdr:to>
      <xdr:col>14</xdr:col>
      <xdr:colOff>110761</xdr:colOff>
      <xdr:row>0</xdr:row>
      <xdr:rowOff>801188</xdr:rowOff>
    </xdr:to>
    <xdr:sp macro="" textlink="">
      <xdr:nvSpPr>
        <xdr:cNvPr id="3" name="テキスト ボックス 2">
          <a:extLst>
            <a:ext uri="{FF2B5EF4-FFF2-40B4-BE49-F238E27FC236}">
              <a16:creationId xmlns:a16="http://schemas.microsoft.com/office/drawing/2014/main" id="{B73D5F33-4C86-4BCF-B49D-6456C93D2142}"/>
            </a:ext>
          </a:extLst>
        </xdr:cNvPr>
        <xdr:cNvSpPr txBox="1"/>
      </xdr:nvSpPr>
      <xdr:spPr>
        <a:xfrm>
          <a:off x="11468916" y="46536"/>
          <a:ext cx="1854381" cy="754652"/>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一時的な所得</a:t>
          </a:r>
        </a:p>
      </xdr:txBody>
    </xdr:sp>
    <xdr:clientData/>
  </xdr:twoCellAnchor>
  <xdr:twoCellAnchor>
    <xdr:from>
      <xdr:col>10</xdr:col>
      <xdr:colOff>132261</xdr:colOff>
      <xdr:row>14</xdr:row>
      <xdr:rowOff>202201</xdr:rowOff>
    </xdr:from>
    <xdr:to>
      <xdr:col>13</xdr:col>
      <xdr:colOff>965834</xdr:colOff>
      <xdr:row>20</xdr:row>
      <xdr:rowOff>35377</xdr:rowOff>
    </xdr:to>
    <xdr:sp macro="" textlink="">
      <xdr:nvSpPr>
        <xdr:cNvPr id="6" name="テキスト ボックス 5">
          <a:extLst>
            <a:ext uri="{FF2B5EF4-FFF2-40B4-BE49-F238E27FC236}">
              <a16:creationId xmlns:a16="http://schemas.microsoft.com/office/drawing/2014/main" id="{AF3DD703-9C23-4157-A927-8D5B1E117F2A}"/>
            </a:ext>
          </a:extLst>
        </xdr:cNvPr>
        <xdr:cNvSpPr txBox="1"/>
      </xdr:nvSpPr>
      <xdr:spPr>
        <a:xfrm>
          <a:off x="10079082" y="5168808"/>
          <a:ext cx="3133181" cy="309889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留意点</a:t>
          </a:r>
          <a:r>
            <a:rPr kumimoji="1" lang="en-US" altLang="ja-JP" sz="1400">
              <a:solidFill>
                <a:sysClr val="windowText" lastClr="000000"/>
              </a:solidFill>
              <a:latin typeface="+mn-ea"/>
              <a:ea typeface="+mn-ea"/>
            </a:rPr>
            <a:t>】</a:t>
          </a:r>
        </a:p>
        <a:p>
          <a:pPr algn="l"/>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「所得の具体的内容」とは、例えば、株式を売却した、山林を伐採して売却した、土地建物を売却した等です。</a:t>
          </a:r>
          <a:endParaRPr kumimoji="1" lang="en-US" altLang="ja-JP" sz="1400">
            <a:solidFill>
              <a:sysClr val="windowText" lastClr="000000"/>
            </a:solidFill>
            <a:latin typeface="+mn-ea"/>
            <a:ea typeface="+mn-ea"/>
          </a:endParaRPr>
        </a:p>
        <a:p>
          <a:pPr algn="l"/>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左記所得金額について、別紙</a:t>
          </a:r>
          <a:r>
            <a:rPr kumimoji="1" lang="en-US" altLang="ja-JP" sz="1400">
              <a:solidFill>
                <a:sysClr val="windowText" lastClr="000000"/>
              </a:solidFill>
              <a:latin typeface="+mn-ea"/>
              <a:ea typeface="+mn-ea"/>
            </a:rPr>
            <a:t>3</a:t>
          </a:r>
          <a:r>
            <a:rPr kumimoji="1" lang="ja-JP" altLang="en-US" sz="1400">
              <a:solidFill>
                <a:sysClr val="windowText" lastClr="000000"/>
              </a:solidFill>
              <a:latin typeface="+mn-ea"/>
              <a:ea typeface="+mn-ea"/>
            </a:rPr>
            <a:t>の⑥～⑨に対応する所得区分へ月ごとの金額を入力してください。</a:t>
          </a:r>
        </a:p>
      </xdr:txBody>
    </xdr:sp>
    <xdr:clientData/>
  </xdr:twoCellAnchor>
  <xdr:twoCellAnchor>
    <xdr:from>
      <xdr:col>10</xdr:col>
      <xdr:colOff>120561</xdr:colOff>
      <xdr:row>10</xdr:row>
      <xdr:rowOff>129543</xdr:rowOff>
    </xdr:from>
    <xdr:to>
      <xdr:col>13</xdr:col>
      <xdr:colOff>960121</xdr:colOff>
      <xdr:row>14</xdr:row>
      <xdr:rowOff>64226</xdr:rowOff>
    </xdr:to>
    <xdr:sp macro="" textlink="">
      <xdr:nvSpPr>
        <xdr:cNvPr id="2" name="テキスト ボックス 1">
          <a:extLst>
            <a:ext uri="{FF2B5EF4-FFF2-40B4-BE49-F238E27FC236}">
              <a16:creationId xmlns:a16="http://schemas.microsoft.com/office/drawing/2014/main" id="{9CF02C60-78DF-4E02-B499-6AF4908B94BE}"/>
            </a:ext>
          </a:extLst>
        </xdr:cNvPr>
        <xdr:cNvSpPr txBox="1"/>
      </xdr:nvSpPr>
      <xdr:spPr>
        <a:xfrm>
          <a:off x="10067382" y="3762650"/>
          <a:ext cx="3139168" cy="1268183"/>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別紙</a:t>
          </a:r>
          <a:r>
            <a:rPr kumimoji="1" lang="en-US" altLang="ja-JP" sz="1400">
              <a:solidFill>
                <a:sysClr val="windowText" lastClr="000000"/>
              </a:solidFill>
              <a:latin typeface="+mn-ea"/>
              <a:ea typeface="+mn-ea"/>
            </a:rPr>
            <a:t>3-2</a:t>
          </a:r>
          <a:r>
            <a:rPr kumimoji="1" lang="ja-JP" altLang="en-US" sz="1400">
              <a:solidFill>
                <a:sysClr val="windowText" lastClr="000000"/>
              </a:solidFill>
              <a:latin typeface="+mn-ea"/>
              <a:ea typeface="+mn-ea"/>
            </a:rPr>
            <a:t>で申告する所得の種類</a:t>
          </a:r>
          <a:r>
            <a:rPr kumimoji="1" lang="en-US" altLang="ja-JP" sz="1400">
              <a:solidFill>
                <a:sysClr val="windowText" lastClr="000000"/>
              </a:solidFill>
              <a:latin typeface="+mn-ea"/>
              <a:ea typeface="+mn-ea"/>
            </a:rPr>
            <a:t>】</a:t>
          </a:r>
        </a:p>
        <a:p>
          <a:pPr algn="l"/>
          <a:r>
            <a:rPr kumimoji="1" lang="ja-JP" altLang="en-US" sz="1400">
              <a:solidFill>
                <a:sysClr val="windowText" lastClr="000000"/>
              </a:solidFill>
              <a:latin typeface="+mn-ea"/>
              <a:ea typeface="+mn-ea"/>
            </a:rPr>
            <a:t>　⑥その他の雑所得、⑦譲渡所得、</a:t>
          </a:r>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　⑧一時所得、⑨山林所得</a:t>
          </a:r>
        </a:p>
      </xdr:txBody>
    </xdr:sp>
    <xdr:clientData/>
  </xdr:twoCellAnchor>
  <xdr:twoCellAnchor>
    <xdr:from>
      <xdr:col>6</xdr:col>
      <xdr:colOff>442744</xdr:colOff>
      <xdr:row>0</xdr:row>
      <xdr:rowOff>625625</xdr:rowOff>
    </xdr:from>
    <xdr:to>
      <xdr:col>12</xdr:col>
      <xdr:colOff>112058</xdr:colOff>
      <xdr:row>2</xdr:row>
      <xdr:rowOff>58736</xdr:rowOff>
    </xdr:to>
    <xdr:sp macro="" textlink="">
      <xdr:nvSpPr>
        <xdr:cNvPr id="4" name="テキスト ボックス 3">
          <a:extLst>
            <a:ext uri="{FF2B5EF4-FFF2-40B4-BE49-F238E27FC236}">
              <a16:creationId xmlns:a16="http://schemas.microsoft.com/office/drawing/2014/main" id="{6CE9DBA6-3755-4E2A-866E-B9D31911F64D}"/>
            </a:ext>
          </a:extLst>
        </xdr:cNvPr>
        <xdr:cNvSpPr txBox="1"/>
      </xdr:nvSpPr>
      <xdr:spPr>
        <a:xfrm>
          <a:off x="6605979" y="625625"/>
          <a:ext cx="5059344" cy="643346"/>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灰色の項目は総表シートの入力情報が自動反映されます。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CE508-9906-44C1-931A-8014C43CD267}">
  <sheetPr codeName="Sheet1">
    <tabColor rgb="FFCCECFF"/>
    <pageSetUpPr fitToPage="1"/>
  </sheetPr>
  <dimension ref="B3:Q29"/>
  <sheetViews>
    <sheetView showGridLines="0" tabSelected="1" view="pageBreakPreview" zoomScaleNormal="100" zoomScaleSheetLayoutView="100" workbookViewId="0">
      <selection activeCell="D18" sqref="D18"/>
    </sheetView>
  </sheetViews>
  <sheetFormatPr defaultColWidth="8.69921875" defaultRowHeight="18"/>
  <cols>
    <col min="1" max="1" width="8.69921875" style="10"/>
    <col min="2" max="3" width="1.5" style="10" customWidth="1"/>
    <col min="4" max="4" width="21" style="10" customWidth="1"/>
    <col min="5" max="5" width="8.69921875" style="10"/>
    <col min="6" max="6" width="21" style="10" customWidth="1"/>
    <col min="7" max="7" width="8.69921875" style="10"/>
    <col min="8" max="8" width="21" style="10" customWidth="1"/>
    <col min="9" max="9" width="8.69921875" style="10"/>
    <col min="10" max="10" width="21" style="10" customWidth="1"/>
    <col min="11" max="11" width="1.3984375" style="10" customWidth="1"/>
    <col min="12" max="12" width="7.19921875" style="10" customWidth="1"/>
    <col min="13" max="13" width="21" style="10" customWidth="1"/>
    <col min="14" max="15" width="1.5" style="10" customWidth="1"/>
    <col min="16" max="16384" width="8.69921875" style="10"/>
  </cols>
  <sheetData>
    <row r="3" spans="2:17" ht="57.6" customHeight="1">
      <c r="B3" s="175" t="s">
        <v>156</v>
      </c>
      <c r="C3" s="175"/>
      <c r="D3" s="175"/>
      <c r="E3" s="175"/>
      <c r="F3" s="175"/>
      <c r="G3" s="175"/>
      <c r="H3" s="175"/>
      <c r="I3" s="175"/>
      <c r="J3" s="175"/>
      <c r="K3" s="175"/>
      <c r="L3" s="175"/>
      <c r="M3" s="175"/>
      <c r="N3" s="175"/>
    </row>
    <row r="4" spans="2:17" ht="9" customHeight="1"/>
    <row r="5" spans="2:17" ht="9" customHeight="1" thickBot="1"/>
    <row r="6" spans="2:17" ht="42.6" customHeight="1" thickBot="1">
      <c r="C6" s="100"/>
      <c r="D6" s="101" t="s">
        <v>33</v>
      </c>
      <c r="E6" s="176"/>
      <c r="F6" s="177"/>
      <c r="H6" s="102" t="s">
        <v>34</v>
      </c>
      <c r="I6" s="176"/>
      <c r="J6" s="177"/>
      <c r="K6" s="103"/>
      <c r="M6" s="104" t="s">
        <v>43</v>
      </c>
    </row>
    <row r="7" spans="2:17" ht="21.6" customHeight="1">
      <c r="D7" s="178" t="s">
        <v>154</v>
      </c>
      <c r="E7" s="180"/>
      <c r="F7" s="181"/>
      <c r="H7" s="178" t="s">
        <v>35</v>
      </c>
      <c r="I7" s="180"/>
      <c r="J7" s="181"/>
      <c r="K7" s="105"/>
      <c r="M7" s="131"/>
      <c r="Q7" s="117"/>
    </row>
    <row r="8" spans="2:17" ht="21.6" customHeight="1" thickBot="1">
      <c r="D8" s="179"/>
      <c r="E8" s="182"/>
      <c r="F8" s="183"/>
      <c r="H8" s="179"/>
      <c r="I8" s="182"/>
      <c r="J8" s="183"/>
      <c r="K8" s="105"/>
      <c r="M8" s="132"/>
    </row>
    <row r="9" spans="2:17" ht="7.2" customHeight="1" thickBot="1">
      <c r="D9" s="12"/>
      <c r="E9" s="105"/>
      <c r="F9" s="105"/>
      <c r="H9" s="12"/>
      <c r="I9" s="105"/>
      <c r="J9" s="105"/>
      <c r="K9" s="105"/>
      <c r="M9" s="106"/>
    </row>
    <row r="10" spans="2:17" ht="20.399999999999999" customHeight="1">
      <c r="D10" s="169" t="s">
        <v>155</v>
      </c>
      <c r="E10" s="170"/>
      <c r="F10" s="170"/>
      <c r="G10" s="170"/>
      <c r="H10" s="171"/>
      <c r="I10" s="165"/>
      <c r="J10" s="166"/>
      <c r="M10" s="163">
        <f>IFERROR(IF(DATEDIF(M7,M8,"M")+1&gt;6,"Error !!",DATEDIF(M7,M8,"M")+1),"Error !!")</f>
        <v>1</v>
      </c>
    </row>
    <row r="11" spans="2:17" ht="20.399999999999999" customHeight="1" thickBot="1">
      <c r="D11" s="172"/>
      <c r="E11" s="173"/>
      <c r="F11" s="173"/>
      <c r="G11" s="173"/>
      <c r="H11" s="174"/>
      <c r="I11" s="167"/>
      <c r="J11" s="168"/>
      <c r="M11" s="164"/>
    </row>
    <row r="12" spans="2:17" ht="9" customHeight="1" thickBot="1">
      <c r="M12" s="107"/>
    </row>
    <row r="13" spans="2:17" ht="43.2" customHeight="1" thickBot="1">
      <c r="D13" s="160" t="s">
        <v>130</v>
      </c>
      <c r="E13" s="161"/>
      <c r="F13" s="161"/>
      <c r="G13" s="161"/>
      <c r="H13" s="161"/>
      <c r="I13" s="162"/>
      <c r="J13" s="130"/>
      <c r="M13" s="144" t="str">
        <f>IF(M10="Error !!","※上記提出期間の設定に誤りがあります。","")</f>
        <v/>
      </c>
    </row>
    <row r="14" spans="2:17" ht="9" customHeight="1">
      <c r="M14" s="107"/>
    </row>
    <row r="15" spans="2:17">
      <c r="C15" s="10" t="s">
        <v>77</v>
      </c>
    </row>
    <row r="16" spans="2:17" ht="7.2" customHeight="1" thickBot="1"/>
    <row r="17" spans="3:15" ht="39" customHeight="1" thickBot="1">
      <c r="D17" s="11" t="s">
        <v>36</v>
      </c>
      <c r="E17" s="13"/>
      <c r="F17" s="11" t="s">
        <v>41</v>
      </c>
      <c r="G17" s="13"/>
      <c r="H17" s="11" t="s">
        <v>70</v>
      </c>
      <c r="I17" s="13"/>
      <c r="J17" s="11" t="s">
        <v>32</v>
      </c>
      <c r="K17" s="13"/>
      <c r="L17" s="13"/>
      <c r="M17" s="11" t="s">
        <v>69</v>
      </c>
    </row>
    <row r="18" spans="3:15" ht="39" customHeight="1" thickBot="1">
      <c r="D18" s="108">
        <f>別紙1!S25</f>
        <v>0</v>
      </c>
      <c r="F18" s="108">
        <f>'（削除不可）給与・年金所得計算'!G22</f>
        <v>0</v>
      </c>
      <c r="H18" s="108">
        <f>'（削除不可）給与・年金所得計算'!G18</f>
        <v>0</v>
      </c>
      <c r="J18" s="108">
        <f>'（削除不可）給与・年金所得計算'!AG11</f>
        <v>0</v>
      </c>
      <c r="K18" s="109"/>
      <c r="M18" s="108">
        <f>H18-J18</f>
        <v>0</v>
      </c>
    </row>
    <row r="19" spans="3:15">
      <c r="M19" s="110" t="s">
        <v>3</v>
      </c>
    </row>
    <row r="20" spans="3:15">
      <c r="C20" s="10" t="s">
        <v>39</v>
      </c>
    </row>
    <row r="21" spans="3:15" ht="7.2" customHeight="1" thickBot="1"/>
    <row r="22" spans="3:15" ht="39" customHeight="1" thickBot="1">
      <c r="D22" s="11" t="s">
        <v>37</v>
      </c>
      <c r="E22" s="13"/>
      <c r="F22" s="11" t="s">
        <v>40</v>
      </c>
      <c r="G22" s="13"/>
      <c r="H22" s="11" t="s">
        <v>42</v>
      </c>
      <c r="L22" s="111" t="s">
        <v>118</v>
      </c>
      <c r="M22" s="112" t="s">
        <v>117</v>
      </c>
    </row>
    <row r="23" spans="3:15" ht="39" customHeight="1" thickBot="1">
      <c r="D23" s="108">
        <f>別紙2!O18</f>
        <v>0</v>
      </c>
      <c r="F23" s="108">
        <f>'（削除不可）給与・年金所得計算'!T23</f>
        <v>0</v>
      </c>
      <c r="H23" s="108">
        <f>'（削除不可）給与・年金所得計算'!S23</f>
        <v>0</v>
      </c>
      <c r="M23" s="108">
        <f>'（削除不可）給与・年金所得計算'!AE18</f>
        <v>0</v>
      </c>
      <c r="O23" s="113"/>
    </row>
    <row r="24" spans="3:15">
      <c r="H24" s="110" t="s">
        <v>3</v>
      </c>
      <c r="O24" s="114"/>
    </row>
    <row r="25" spans="3:15">
      <c r="C25" s="10" t="s">
        <v>84</v>
      </c>
    </row>
    <row r="26" spans="3:15" ht="7.2" customHeight="1" thickBot="1"/>
    <row r="27" spans="3:15" ht="39" customHeight="1" thickBot="1">
      <c r="D27" s="11" t="s">
        <v>38</v>
      </c>
      <c r="M27" s="11" t="s">
        <v>64</v>
      </c>
    </row>
    <row r="28" spans="3:15" ht="39" customHeight="1" thickBot="1">
      <c r="D28" s="108">
        <f>別紙3!N21</f>
        <v>0</v>
      </c>
      <c r="K28" s="114"/>
      <c r="L28" s="115" t="s">
        <v>58</v>
      </c>
      <c r="M28" s="108">
        <f>SUM(M18,H23,D28)</f>
        <v>0</v>
      </c>
      <c r="O28" s="113"/>
    </row>
    <row r="29" spans="3:15">
      <c r="D29" s="110" t="s">
        <v>3</v>
      </c>
      <c r="K29" s="114"/>
      <c r="L29" s="116"/>
      <c r="M29" s="114"/>
      <c r="O29" s="114"/>
    </row>
  </sheetData>
  <sheetProtection algorithmName="SHA-512" hashValue="MJK7FLWAH6iCOurT5KV7MGKWKmA1+Uz/+7A+eJk/+ChkYrXyWeOUoy8QxcffwgBWbf4H3UxELOxluEfISpHy/w==" saltValue="KhE0tGiIhq9BhXYf/Yo45w==" spinCount="100000" sheet="1" objects="1" scenarios="1"/>
  <mergeCells count="11">
    <mergeCell ref="D13:I13"/>
    <mergeCell ref="M10:M11"/>
    <mergeCell ref="I10:J11"/>
    <mergeCell ref="D10:H11"/>
    <mergeCell ref="B3:N3"/>
    <mergeCell ref="E6:F6"/>
    <mergeCell ref="I6:J6"/>
    <mergeCell ref="H7:H8"/>
    <mergeCell ref="I7:J8"/>
    <mergeCell ref="D7:D8"/>
    <mergeCell ref="E7:F8"/>
  </mergeCells>
  <phoneticPr fontId="1"/>
  <conditionalFormatting sqref="M10:M11">
    <cfRule type="cellIs" dxfId="0" priority="1" operator="equal">
      <formula>"Error !!"</formula>
    </cfRule>
  </conditionalFormatting>
  <dataValidations count="2">
    <dataValidation type="list" allowBlank="1" showInputMessage="1" showErrorMessage="1" sqref="I10:J11" xr:uid="{7043B78C-BFA6-4772-BD17-85681EA0D1CF}">
      <formula1>"はい（家計急変者自身が特別障害者）,はい（同一生計配偶者が特別障害者）,はい（扶養親族が特別障害者）,はい（23歳未満の扶養親族がいる）,いいえ"</formula1>
    </dataValidation>
    <dataValidation type="list" allowBlank="1" showInputMessage="1" showErrorMessage="1" sqref="J13" xr:uid="{FFCA708C-C7E7-44F8-93E7-95A91F5678FC}">
      <formula1>"✓"</formula1>
    </dataValidation>
  </dataValidations>
  <printOptions horizontalCentered="1"/>
  <pageMargins left="0.70866141732283472" right="0.70866141732283472" top="0.74803149606299213" bottom="0.74803149606299213" header="0.31496062992125984" footer="0.31496062992125984"/>
  <pageSetup paperSize="9" scale="74" orientation="landscape"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816DB66-2A83-4335-AC2F-F84EE7458222}">
          <x14:formula1>
            <xm:f>'（削除不可）給与・年金所得計算'!$A$32:$A$120</xm:f>
          </x14:formula1>
          <xm:sqref>M7</xm:sqref>
        </x14:dataValidation>
        <x14:dataValidation type="list" allowBlank="1" showInputMessage="1" showErrorMessage="1" xr:uid="{D1BC4FA2-78C9-4FEE-BAC4-FA008B57399E}">
          <x14:formula1>
            <xm:f>'（削除不可）給与・年金所得計算'!$A$36:$A$120</xm:f>
          </x14:formula1>
          <xm:sqref>M8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3CB8C-2040-4F50-AC14-EEEFA6F6D9AD}">
  <sheetPr codeName="Sheet2">
    <tabColor rgb="FFCCECFF"/>
    <pageSetUpPr fitToPage="1"/>
  </sheetPr>
  <dimension ref="C1:T26"/>
  <sheetViews>
    <sheetView showGridLines="0" view="pageBreakPreview" zoomScale="80" zoomScaleNormal="100" zoomScaleSheetLayoutView="80" workbookViewId="0">
      <selection activeCell="M23" sqref="M23"/>
    </sheetView>
  </sheetViews>
  <sheetFormatPr defaultColWidth="8.69921875" defaultRowHeight="18"/>
  <cols>
    <col min="1" max="1" width="8.69921875" style="67"/>
    <col min="2" max="2" width="1.69921875" style="67" customWidth="1"/>
    <col min="3" max="3" width="38" style="67" customWidth="1"/>
    <col min="4" max="10" width="14.69921875" style="67" customWidth="1"/>
    <col min="11" max="11" width="2.5" style="67" customWidth="1"/>
    <col min="12" max="13" width="4.69921875" style="67" customWidth="1"/>
    <col min="14" max="14" width="3.19921875" style="67" customWidth="1"/>
    <col min="15" max="15" width="14.69921875" style="67" customWidth="1"/>
    <col min="16" max="16" width="8.69921875" style="67"/>
    <col min="17" max="17" width="14.69921875" style="67" customWidth="1"/>
    <col min="18" max="18" width="8.69921875" style="67"/>
    <col min="19" max="19" width="14.69921875" style="67" customWidth="1"/>
    <col min="20" max="20" width="1.69921875" style="67" customWidth="1"/>
    <col min="21" max="21" width="8.69921875" style="67"/>
    <col min="22" max="22" width="11.5" style="67" customWidth="1"/>
    <col min="23" max="23" width="8.69921875" style="67"/>
    <col min="24" max="24" width="9.3984375" style="67" bestFit="1" customWidth="1"/>
    <col min="25" max="27" width="8.69921875" style="67"/>
    <col min="28" max="28" width="9.8984375" style="67" bestFit="1" customWidth="1"/>
    <col min="29" max="16384" width="8.69921875" style="67"/>
  </cols>
  <sheetData>
    <row r="1" spans="3:17" ht="28.8">
      <c r="C1" s="66" t="s">
        <v>157</v>
      </c>
    </row>
    <row r="2" spans="3:17" ht="12" customHeight="1">
      <c r="C2" s="68"/>
    </row>
    <row r="3" spans="3:17" ht="12" customHeight="1">
      <c r="C3" s="68"/>
    </row>
    <row r="4" spans="3:17" ht="39" customHeight="1">
      <c r="C4" s="145" t="str">
        <f>総表!D6&amp;"："&amp;総表!E6</f>
        <v>生徒氏名：</v>
      </c>
      <c r="D4" s="83"/>
      <c r="E4" s="74"/>
      <c r="F4" s="68"/>
      <c r="G4" s="186" t="s">
        <v>16</v>
      </c>
      <c r="H4" s="187"/>
      <c r="I4" s="148">
        <f>総表!M10</f>
        <v>1</v>
      </c>
      <c r="J4" s="149" t="s">
        <v>5</v>
      </c>
      <c r="K4" s="84"/>
      <c r="L4" s="68"/>
      <c r="M4" s="68"/>
      <c r="N4" s="68"/>
      <c r="O4" s="68"/>
      <c r="P4" s="68"/>
      <c r="Q4" s="68"/>
    </row>
    <row r="5" spans="3:17" ht="39" customHeight="1">
      <c r="C5" s="145" t="str">
        <f>総表!H6&amp;"："&amp;総表!I6</f>
        <v>家計急変者氏名：</v>
      </c>
      <c r="D5" s="146" t="s">
        <v>54</v>
      </c>
      <c r="E5" s="147" t="str">
        <f>IF(総表!I7="","",総表!I7)</f>
        <v/>
      </c>
      <c r="F5" s="146" t="s">
        <v>147</v>
      </c>
      <c r="G5" s="147">
        <f>総表!E7</f>
        <v>0</v>
      </c>
      <c r="H5" s="68"/>
      <c r="I5" s="75"/>
      <c r="J5" s="75"/>
      <c r="K5" s="68"/>
      <c r="L5" s="68"/>
      <c r="M5" s="68"/>
      <c r="N5" s="68"/>
      <c r="O5" s="68"/>
      <c r="P5" s="68"/>
      <c r="Q5" s="68"/>
    </row>
    <row r="6" spans="3:17" ht="12" customHeight="1">
      <c r="E6" s="76"/>
    </row>
    <row r="7" spans="3:17" ht="12" customHeight="1">
      <c r="E7" s="76"/>
    </row>
    <row r="8" spans="3:17" ht="22.2">
      <c r="C8" s="68" t="s">
        <v>82</v>
      </c>
      <c r="J8" s="77" t="s">
        <v>57</v>
      </c>
    </row>
    <row r="9" spans="3:17" ht="25.2" customHeight="1">
      <c r="C9" s="184" t="s">
        <v>4</v>
      </c>
      <c r="D9" s="150">
        <f>総表!M7</f>
        <v>0</v>
      </c>
      <c r="E9" s="150" t="str">
        <f>IF(総表!M10&gt;=2,EDATE(D9,1),"")</f>
        <v/>
      </c>
      <c r="F9" s="150" t="str">
        <f>IF(総表!M10&gt;=3,EDATE(E9,1),"")</f>
        <v/>
      </c>
      <c r="G9" s="150" t="str">
        <f>IF(総表!M10&gt;=4,EDATE(F9,1),"")</f>
        <v/>
      </c>
      <c r="H9" s="150" t="str">
        <f>IF(総表!M10&gt;=5,EDATE(G9,1),"")</f>
        <v/>
      </c>
      <c r="I9" s="150" t="str">
        <f>IF(総表!M10=6,EDATE(H9,1),"")</f>
        <v/>
      </c>
      <c r="J9" s="124" t="s">
        <v>51</v>
      </c>
    </row>
    <row r="10" spans="3:17" ht="25.2" customHeight="1">
      <c r="C10" s="185"/>
      <c r="D10" s="151">
        <f>D9</f>
        <v>0</v>
      </c>
      <c r="E10" s="151" t="str">
        <f t="shared" ref="E10:I10" si="0">E9</f>
        <v/>
      </c>
      <c r="F10" s="151" t="str">
        <f t="shared" si="0"/>
        <v/>
      </c>
      <c r="G10" s="151" t="str">
        <f>G9</f>
        <v/>
      </c>
      <c r="H10" s="151" t="str">
        <f t="shared" si="0"/>
        <v/>
      </c>
      <c r="I10" s="151" t="str">
        <f t="shared" si="0"/>
        <v/>
      </c>
      <c r="J10" s="125" t="s">
        <v>52</v>
      </c>
    </row>
    <row r="11" spans="3:17" ht="22.2">
      <c r="C11" s="123" t="s">
        <v>128</v>
      </c>
      <c r="D11" s="126"/>
      <c r="E11" s="126"/>
      <c r="F11" s="126"/>
      <c r="G11" s="126"/>
      <c r="H11" s="126"/>
      <c r="I11" s="126"/>
      <c r="J11" s="126"/>
      <c r="K11" s="79"/>
      <c r="L11" s="79"/>
      <c r="M11" s="79"/>
    </row>
    <row r="12" spans="3:17" ht="50.4" customHeight="1">
      <c r="C12" s="133" t="s">
        <v>129</v>
      </c>
      <c r="D12" s="134"/>
      <c r="E12" s="134"/>
      <c r="F12" s="134"/>
      <c r="G12" s="134"/>
      <c r="H12" s="134"/>
      <c r="I12" s="134"/>
      <c r="J12" s="85">
        <f>SUM(D12:I12)</f>
        <v>0</v>
      </c>
      <c r="K12" s="79"/>
      <c r="L12" s="79"/>
      <c r="M12" s="79"/>
    </row>
    <row r="13" spans="3:17" ht="50.4" customHeight="1">
      <c r="C13" s="133" t="s">
        <v>45</v>
      </c>
      <c r="D13" s="134"/>
      <c r="E13" s="134"/>
      <c r="F13" s="134"/>
      <c r="G13" s="134"/>
      <c r="H13" s="134"/>
      <c r="I13" s="134"/>
      <c r="J13" s="85">
        <f>SUM(D13:I13)</f>
        <v>0</v>
      </c>
      <c r="K13" s="79"/>
      <c r="L13" s="79"/>
      <c r="M13" s="79"/>
      <c r="P13" s="86"/>
    </row>
    <row r="14" spans="3:17" ht="50.4" customHeight="1">
      <c r="C14" s="133" t="s">
        <v>44</v>
      </c>
      <c r="D14" s="134"/>
      <c r="E14" s="134"/>
      <c r="F14" s="134"/>
      <c r="G14" s="134"/>
      <c r="H14" s="134"/>
      <c r="I14" s="134"/>
      <c r="J14" s="85">
        <f>SUM(D14:I14)</f>
        <v>0</v>
      </c>
      <c r="K14" s="79"/>
      <c r="L14" s="79"/>
      <c r="M14" s="79"/>
      <c r="O14" s="87"/>
      <c r="P14" s="88"/>
      <c r="Q14" s="87"/>
    </row>
    <row r="15" spans="3:17" ht="50.4" customHeight="1" thickBot="1">
      <c r="C15" s="133" t="s">
        <v>46</v>
      </c>
      <c r="D15" s="134"/>
      <c r="E15" s="134"/>
      <c r="F15" s="134"/>
      <c r="G15" s="134"/>
      <c r="H15" s="134"/>
      <c r="I15" s="134"/>
      <c r="J15" s="85">
        <f>SUM(D15:I15)</f>
        <v>0</v>
      </c>
      <c r="K15" s="79"/>
      <c r="L15" s="79"/>
      <c r="M15" s="79"/>
      <c r="O15" s="127" t="s">
        <v>50</v>
      </c>
      <c r="P15" s="88"/>
      <c r="Q15" s="127" t="s">
        <v>53</v>
      </c>
    </row>
    <row r="16" spans="3:17" ht="50.4" customHeight="1" thickBot="1">
      <c r="C16" s="133" t="s">
        <v>59</v>
      </c>
      <c r="D16" s="134"/>
      <c r="E16" s="134"/>
      <c r="F16" s="134"/>
      <c r="G16" s="134"/>
      <c r="H16" s="134"/>
      <c r="I16" s="134"/>
      <c r="J16" s="85">
        <f>SUM(D16:I16)</f>
        <v>0</v>
      </c>
      <c r="K16" s="79"/>
      <c r="L16" s="79"/>
      <c r="M16" s="79"/>
      <c r="O16" s="89">
        <f>SUM(J12:J16)</f>
        <v>0</v>
      </c>
      <c r="P16" s="90">
        <f>12/$I$4</f>
        <v>12</v>
      </c>
      <c r="Q16" s="89">
        <f>ROUNDDOWN(O16*P16,0)</f>
        <v>0</v>
      </c>
    </row>
    <row r="17" spans="3:20" ht="12" customHeight="1">
      <c r="C17" s="91"/>
      <c r="D17" s="92"/>
      <c r="E17" s="92"/>
      <c r="F17" s="92"/>
      <c r="G17" s="92"/>
      <c r="H17" s="92"/>
      <c r="I17" s="92"/>
      <c r="J17" s="92"/>
      <c r="K17" s="79"/>
      <c r="L17" s="79"/>
      <c r="M17" s="79"/>
      <c r="O17" s="79"/>
      <c r="P17" s="93"/>
      <c r="Q17" s="79"/>
    </row>
    <row r="18" spans="3:20" ht="52.95" customHeight="1">
      <c r="C18" s="188" t="s">
        <v>142</v>
      </c>
      <c r="D18" s="189"/>
      <c r="E18" s="189"/>
      <c r="F18" s="189"/>
      <c r="G18" s="189"/>
      <c r="H18" s="189"/>
      <c r="I18" s="190"/>
      <c r="J18" s="135"/>
      <c r="K18" s="79"/>
      <c r="L18" s="79"/>
      <c r="M18" s="79"/>
      <c r="O18" s="79"/>
      <c r="P18" s="93"/>
      <c r="Q18" s="79"/>
    </row>
    <row r="19" spans="3:20" ht="12" customHeight="1">
      <c r="C19" s="91"/>
      <c r="D19" s="92"/>
      <c r="E19" s="92"/>
      <c r="F19" s="92"/>
      <c r="G19" s="92"/>
      <c r="H19" s="92"/>
      <c r="I19" s="92"/>
      <c r="J19" s="92"/>
      <c r="K19" s="79"/>
      <c r="L19" s="79"/>
      <c r="M19" s="79"/>
      <c r="O19" s="79"/>
      <c r="P19" s="93"/>
      <c r="Q19" s="79"/>
    </row>
    <row r="20" spans="3:20" ht="22.8" thickBot="1">
      <c r="C20" s="80" t="s">
        <v>0</v>
      </c>
      <c r="D20" s="128"/>
      <c r="E20" s="128"/>
      <c r="F20" s="128"/>
      <c r="G20" s="128"/>
      <c r="H20" s="128"/>
      <c r="I20" s="128"/>
      <c r="J20" s="128"/>
      <c r="K20" s="79"/>
      <c r="L20" s="94" t="s">
        <v>47</v>
      </c>
      <c r="M20" s="94" t="s">
        <v>48</v>
      </c>
      <c r="O20" s="129" t="s">
        <v>49</v>
      </c>
      <c r="P20" s="90"/>
      <c r="Q20" s="127" t="s">
        <v>53</v>
      </c>
    </row>
    <row r="21" spans="3:20" ht="50.4" customHeight="1" thickBot="1">
      <c r="C21" s="133" t="s">
        <v>141</v>
      </c>
      <c r="D21" s="134"/>
      <c r="E21" s="134"/>
      <c r="F21" s="134"/>
      <c r="G21" s="134"/>
      <c r="H21" s="134"/>
      <c r="I21" s="134"/>
      <c r="J21" s="85">
        <f>SUM(D21:I21)</f>
        <v>0</v>
      </c>
      <c r="K21" s="79"/>
      <c r="L21" s="136"/>
      <c r="M21" s="136"/>
      <c r="O21" s="89">
        <f>J21</f>
        <v>0</v>
      </c>
      <c r="P21" s="90" t="str">
        <f>IFERROR(M21/L21,"-")</f>
        <v>-</v>
      </c>
      <c r="Q21" s="89" t="str">
        <f>IFERROR(ROUNDDOWN(O21*P21,0),"")</f>
        <v/>
      </c>
    </row>
    <row r="22" spans="3:20" ht="50.4" customHeight="1" thickBot="1">
      <c r="C22" s="133" t="s">
        <v>45</v>
      </c>
      <c r="D22" s="134"/>
      <c r="E22" s="134"/>
      <c r="F22" s="134"/>
      <c r="G22" s="134"/>
      <c r="H22" s="134"/>
      <c r="I22" s="134"/>
      <c r="J22" s="85">
        <f>SUM(D22:I22)</f>
        <v>0</v>
      </c>
      <c r="K22" s="79"/>
      <c r="L22" s="136"/>
      <c r="M22" s="136"/>
      <c r="O22" s="89">
        <f>J22</f>
        <v>0</v>
      </c>
      <c r="P22" s="90" t="str">
        <f>IFERROR(M22/L22,"-")</f>
        <v>-</v>
      </c>
      <c r="Q22" s="89" t="str">
        <f t="shared" ref="Q22:Q25" si="1">IFERROR(ROUNDDOWN(O22*P22,0),"")</f>
        <v/>
      </c>
    </row>
    <row r="23" spans="3:20" ht="50.4" customHeight="1" thickBot="1">
      <c r="C23" s="133" t="s">
        <v>44</v>
      </c>
      <c r="D23" s="134"/>
      <c r="E23" s="134"/>
      <c r="F23" s="134"/>
      <c r="G23" s="134"/>
      <c r="H23" s="134"/>
      <c r="I23" s="134"/>
      <c r="J23" s="85">
        <f>SUM(D23:I23)</f>
        <v>0</v>
      </c>
      <c r="K23" s="79"/>
      <c r="L23" s="136"/>
      <c r="M23" s="136"/>
      <c r="O23" s="89">
        <f>J23</f>
        <v>0</v>
      </c>
      <c r="P23" s="90" t="str">
        <f>IFERROR(M23/L23,"-")</f>
        <v>-</v>
      </c>
      <c r="Q23" s="89" t="str">
        <f t="shared" si="1"/>
        <v/>
      </c>
      <c r="S23" s="95"/>
      <c r="T23" s="79"/>
    </row>
    <row r="24" spans="3:20" ht="50.4" customHeight="1" thickBot="1">
      <c r="C24" s="133" t="s">
        <v>46</v>
      </c>
      <c r="D24" s="134"/>
      <c r="E24" s="134"/>
      <c r="F24" s="134"/>
      <c r="G24" s="134"/>
      <c r="H24" s="134"/>
      <c r="I24" s="134"/>
      <c r="J24" s="85">
        <f>SUM(D24:I24)</f>
        <v>0</v>
      </c>
      <c r="K24" s="79"/>
      <c r="L24" s="136"/>
      <c r="M24" s="136"/>
      <c r="O24" s="89">
        <f>J24</f>
        <v>0</v>
      </c>
      <c r="P24" s="90" t="str">
        <f>IFERROR(M24/L24,"-")</f>
        <v>-</v>
      </c>
      <c r="Q24" s="89" t="str">
        <f>IFERROR(ROUNDDOWN(O24*P24,0),"")</f>
        <v/>
      </c>
      <c r="S24" s="129" t="s">
        <v>53</v>
      </c>
      <c r="T24" s="79"/>
    </row>
    <row r="25" spans="3:20" ht="50.4" customHeight="1" thickTop="1" thickBot="1">
      <c r="C25" s="133" t="s">
        <v>59</v>
      </c>
      <c r="D25" s="134"/>
      <c r="E25" s="134"/>
      <c r="F25" s="134"/>
      <c r="G25" s="134"/>
      <c r="H25" s="134"/>
      <c r="I25" s="134"/>
      <c r="J25" s="85">
        <f>SUM(D25:I25)</f>
        <v>0</v>
      </c>
      <c r="K25" s="79"/>
      <c r="L25" s="136"/>
      <c r="M25" s="136"/>
      <c r="O25" s="89">
        <f>J25</f>
        <v>0</v>
      </c>
      <c r="P25" s="90" t="str">
        <f>IFERROR(M25/L25,"-")</f>
        <v>-</v>
      </c>
      <c r="Q25" s="89" t="str">
        <f t="shared" si="1"/>
        <v/>
      </c>
      <c r="S25" s="96">
        <f>SUM(Q16,Q21:Q25)</f>
        <v>0</v>
      </c>
      <c r="T25" s="79"/>
    </row>
    <row r="26" spans="3:20" ht="22.2">
      <c r="C26" s="97"/>
      <c r="D26" s="98"/>
      <c r="E26" s="98"/>
      <c r="F26" s="98"/>
      <c r="G26" s="98"/>
      <c r="H26" s="98"/>
      <c r="I26" s="98"/>
      <c r="J26" s="98"/>
      <c r="K26" s="79"/>
      <c r="L26" s="99"/>
      <c r="M26" s="99"/>
      <c r="P26" s="86"/>
      <c r="S26" s="77"/>
      <c r="T26" s="77" t="s">
        <v>83</v>
      </c>
    </row>
  </sheetData>
  <sheetProtection algorithmName="SHA-512" hashValue="mXr2SRQJTGklYZwN8poT6yGJjDAv4aKiScNcUwOhsnnjYFWKNmGk9cu+yxpMiPTcD0y6AIWovbL54togwNLn9Q==" saltValue="7YM5QiwtC+VSwi84aiBg5Q==" spinCount="100000" sheet="1" objects="1" scenarios="1"/>
  <mergeCells count="3">
    <mergeCell ref="C9:C10"/>
    <mergeCell ref="G4:H4"/>
    <mergeCell ref="C18:I18"/>
  </mergeCells>
  <phoneticPr fontId="1"/>
  <dataValidations count="1">
    <dataValidation type="list" allowBlank="1" showInputMessage="1" showErrorMessage="1" sqref="J18" xr:uid="{55EBEF70-3668-487F-822C-E8C206D3B699}">
      <formula1>"✓"</formula1>
    </dataValidation>
  </dataValidations>
  <printOptions horizontalCentered="1"/>
  <pageMargins left="0.70866141732283472" right="0.70866141732283472" top="0.74803149606299213" bottom="0.74803149606299213" header="0.31496062992125984" footer="0.31496062992125984"/>
  <pageSetup paperSize="9" scale="53" orientation="landscape"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1912F-7B57-4992-B164-C1D0DFCD3912}">
  <sheetPr codeName="Sheet3">
    <tabColor rgb="FFCCECFF"/>
    <pageSetUpPr fitToPage="1"/>
  </sheetPr>
  <dimension ref="C1:AB34"/>
  <sheetViews>
    <sheetView showGridLines="0" view="pageBreakPreview" topLeftCell="A9" zoomScale="80" zoomScaleNormal="100" zoomScaleSheetLayoutView="80" workbookViewId="0">
      <selection activeCell="I6" sqref="I6"/>
    </sheetView>
  </sheetViews>
  <sheetFormatPr defaultRowHeight="18"/>
  <cols>
    <col min="2" max="2" width="1.69921875" customWidth="1"/>
    <col min="3" max="3" width="31.19921875" customWidth="1"/>
    <col min="4" max="10" width="12.59765625" customWidth="1"/>
    <col min="11" max="11" width="3.19921875" customWidth="1"/>
    <col min="12" max="12" width="8.69921875" customWidth="1"/>
    <col min="13" max="13" width="14.19921875" customWidth="1"/>
    <col min="15" max="15" width="14.19921875" customWidth="1"/>
    <col min="16" max="16" width="1.69921875" customWidth="1"/>
    <col min="18" max="18" width="11.5" customWidth="1"/>
    <col min="19" max="19" width="9.3984375" bestFit="1" customWidth="1"/>
    <col min="23" max="23" width="9.8984375" bestFit="1" customWidth="1"/>
  </cols>
  <sheetData>
    <row r="1" spans="3:15" ht="70.95" customHeight="1">
      <c r="C1" s="21" t="s">
        <v>158</v>
      </c>
    </row>
    <row r="2" spans="3:15" ht="12" customHeight="1">
      <c r="C2" s="4"/>
    </row>
    <row r="3" spans="3:15" ht="12" customHeight="1">
      <c r="C3" s="4"/>
    </row>
    <row r="4" spans="3:15" ht="39" customHeight="1">
      <c r="C4" s="152" t="str">
        <f>総表!D6&amp;"："&amp;総表!E6</f>
        <v>生徒氏名：</v>
      </c>
      <c r="D4" s="22"/>
      <c r="E4" s="23"/>
      <c r="F4" s="4"/>
      <c r="G4" s="193" t="s">
        <v>16</v>
      </c>
      <c r="H4" s="194"/>
      <c r="I4" s="156">
        <f>総表!M10</f>
        <v>1</v>
      </c>
      <c r="J4" s="157" t="s">
        <v>5</v>
      </c>
      <c r="K4" s="4"/>
      <c r="L4" s="4"/>
    </row>
    <row r="5" spans="3:15" ht="39" customHeight="1">
      <c r="C5" s="152" t="str">
        <f>総表!H6&amp;"："&amp;総表!I6</f>
        <v>家計急変者氏名：</v>
      </c>
      <c r="D5" s="153" t="s">
        <v>54</v>
      </c>
      <c r="E5" s="154">
        <f>総表!I7</f>
        <v>0</v>
      </c>
      <c r="F5" s="155" t="s">
        <v>147</v>
      </c>
      <c r="G5" s="154">
        <f>総表!E7</f>
        <v>0</v>
      </c>
      <c r="H5" s="4"/>
      <c r="I5" s="156">
        <f>DATEDIF(E5,I6,"Y")</f>
        <v>0</v>
      </c>
      <c r="J5" s="158" t="s">
        <v>7</v>
      </c>
      <c r="K5" s="195" t="s">
        <v>107</v>
      </c>
      <c r="L5" s="196"/>
      <c r="M5" s="196"/>
      <c r="N5" s="196"/>
      <c r="O5" s="196"/>
    </row>
    <row r="6" spans="3:15" ht="38.4" customHeight="1">
      <c r="E6" s="9"/>
      <c r="H6" s="28" t="s">
        <v>111</v>
      </c>
      <c r="I6" s="138"/>
      <c r="J6" s="197" t="e">
        <f>VLOOKUP(I6,AA26:AB34,2)</f>
        <v>#N/A</v>
      </c>
      <c r="K6" s="198"/>
      <c r="L6" s="198"/>
      <c r="M6" s="198"/>
      <c r="N6" s="198"/>
      <c r="O6" s="199"/>
    </row>
    <row r="7" spans="3:15" ht="32.4" customHeight="1">
      <c r="E7" s="9"/>
    </row>
    <row r="8" spans="3:15" ht="22.2">
      <c r="C8" s="27" t="s">
        <v>55</v>
      </c>
      <c r="J8" s="28" t="s">
        <v>57</v>
      </c>
    </row>
    <row r="9" spans="3:15" ht="22.2">
      <c r="C9" s="191" t="s">
        <v>4</v>
      </c>
      <c r="D9" s="150">
        <f>総表!M7</f>
        <v>0</v>
      </c>
      <c r="E9" s="150" t="str">
        <f>IF(総表!M10&gt;=2,EDATE(D9,1),"")</f>
        <v/>
      </c>
      <c r="F9" s="150" t="str">
        <f>IF(総表!M10&gt;=3,EDATE(E9,1),"")</f>
        <v/>
      </c>
      <c r="G9" s="150" t="str">
        <f>IF(総表!M10&gt;=4,EDATE(F9,1),"")</f>
        <v/>
      </c>
      <c r="H9" s="150" t="str">
        <f>IF(総表!M10&gt;=5,EDATE(G9,1),"")</f>
        <v/>
      </c>
      <c r="I9" s="150" t="str">
        <f>IF(総表!M10=6,EDATE(H9,1),"")</f>
        <v/>
      </c>
      <c r="J9" s="119" t="s">
        <v>51</v>
      </c>
    </row>
    <row r="10" spans="3:15" ht="22.2">
      <c r="C10" s="192"/>
      <c r="D10" s="151">
        <f>D9</f>
        <v>0</v>
      </c>
      <c r="E10" s="151" t="str">
        <f t="shared" ref="E10:I10" si="0">E9</f>
        <v/>
      </c>
      <c r="F10" s="151" t="str">
        <f t="shared" si="0"/>
        <v/>
      </c>
      <c r="G10" s="151" t="str">
        <f t="shared" si="0"/>
        <v/>
      </c>
      <c r="H10" s="151" t="str">
        <f t="shared" si="0"/>
        <v/>
      </c>
      <c r="I10" s="151" t="str">
        <f t="shared" si="0"/>
        <v/>
      </c>
      <c r="J10" s="120" t="s">
        <v>52</v>
      </c>
    </row>
    <row r="11" spans="3:15" ht="50.4" customHeight="1">
      <c r="C11" s="139" t="s">
        <v>78</v>
      </c>
      <c r="D11" s="137"/>
      <c r="E11" s="137"/>
      <c r="F11" s="137"/>
      <c r="G11" s="137"/>
      <c r="H11" s="137"/>
      <c r="I11" s="137"/>
      <c r="J11" s="19">
        <f t="shared" ref="J11:J18" si="1">SUM(D11:I11)</f>
        <v>0</v>
      </c>
    </row>
    <row r="12" spans="3:15" ht="50.4" customHeight="1">
      <c r="C12" s="139" t="s">
        <v>79</v>
      </c>
      <c r="D12" s="137"/>
      <c r="E12" s="137"/>
      <c r="F12" s="137"/>
      <c r="G12" s="137"/>
      <c r="H12" s="137"/>
      <c r="I12" s="137"/>
      <c r="J12" s="19">
        <f t="shared" si="1"/>
        <v>0</v>
      </c>
    </row>
    <row r="13" spans="3:15" ht="50.4" customHeight="1">
      <c r="C13" s="139" t="s">
        <v>80</v>
      </c>
      <c r="D13" s="137"/>
      <c r="E13" s="137"/>
      <c r="F13" s="137"/>
      <c r="G13" s="137"/>
      <c r="H13" s="137"/>
      <c r="I13" s="137"/>
      <c r="J13" s="19">
        <f t="shared" si="1"/>
        <v>0</v>
      </c>
    </row>
    <row r="14" spans="3:15" ht="50.4" customHeight="1">
      <c r="C14" s="139" t="s">
        <v>81</v>
      </c>
      <c r="D14" s="137"/>
      <c r="E14" s="137"/>
      <c r="F14" s="137"/>
      <c r="G14" s="137"/>
      <c r="H14" s="137"/>
      <c r="I14" s="137"/>
      <c r="J14" s="19">
        <f t="shared" si="1"/>
        <v>0</v>
      </c>
    </row>
    <row r="15" spans="3:15" ht="50.4" customHeight="1">
      <c r="C15" s="139" t="s">
        <v>56</v>
      </c>
      <c r="D15" s="137"/>
      <c r="E15" s="137"/>
      <c r="F15" s="137"/>
      <c r="G15" s="137"/>
      <c r="H15" s="137"/>
      <c r="I15" s="137"/>
      <c r="J15" s="19">
        <f t="shared" si="1"/>
        <v>0</v>
      </c>
    </row>
    <row r="16" spans="3:15" ht="50.4" customHeight="1">
      <c r="C16" s="139" t="s">
        <v>143</v>
      </c>
      <c r="D16" s="137"/>
      <c r="E16" s="137"/>
      <c r="F16" s="137"/>
      <c r="G16" s="137"/>
      <c r="H16" s="137"/>
      <c r="I16" s="137"/>
      <c r="J16" s="19">
        <f t="shared" si="1"/>
        <v>0</v>
      </c>
    </row>
    <row r="17" spans="3:28" ht="50.4" customHeight="1" thickBot="1">
      <c r="C17" s="139" t="s">
        <v>144</v>
      </c>
      <c r="D17" s="137"/>
      <c r="E17" s="137"/>
      <c r="F17" s="137"/>
      <c r="G17" s="137"/>
      <c r="H17" s="137"/>
      <c r="I17" s="137"/>
      <c r="J17" s="19">
        <f t="shared" si="1"/>
        <v>0</v>
      </c>
      <c r="M17" s="24" t="s">
        <v>1</v>
      </c>
      <c r="O17" s="29" t="s">
        <v>53</v>
      </c>
    </row>
    <row r="18" spans="3:28" ht="50.4" customHeight="1" thickTop="1" thickBot="1">
      <c r="C18" s="139" t="s">
        <v>145</v>
      </c>
      <c r="D18" s="137"/>
      <c r="E18" s="137"/>
      <c r="F18" s="137"/>
      <c r="G18" s="137"/>
      <c r="H18" s="137"/>
      <c r="I18" s="137"/>
      <c r="J18" s="19">
        <f t="shared" si="1"/>
        <v>0</v>
      </c>
      <c r="M18" s="20">
        <f>SUM(J11:J18)</f>
        <v>0</v>
      </c>
      <c r="N18" s="25">
        <f>12/$I$4</f>
        <v>12</v>
      </c>
      <c r="O18" s="30">
        <f>ROUNDDOWN(M18*N18,0)</f>
        <v>0</v>
      </c>
      <c r="P18" s="3"/>
    </row>
    <row r="19" spans="3:28" ht="22.2">
      <c r="O19" s="26"/>
      <c r="P19" s="26" t="s">
        <v>83</v>
      </c>
    </row>
    <row r="26" spans="3:28">
      <c r="AA26" s="9">
        <v>44562</v>
      </c>
      <c r="AB26" t="s">
        <v>108</v>
      </c>
    </row>
    <row r="27" spans="3:28">
      <c r="AA27" s="9">
        <v>44927</v>
      </c>
      <c r="AB27" t="s">
        <v>109</v>
      </c>
    </row>
    <row r="28" spans="3:28">
      <c r="AA28" s="9">
        <v>45292</v>
      </c>
      <c r="AB28" t="s">
        <v>110</v>
      </c>
    </row>
    <row r="29" spans="3:28">
      <c r="AA29" s="9">
        <v>45658</v>
      </c>
      <c r="AB29" t="s">
        <v>163</v>
      </c>
    </row>
    <row r="30" spans="3:28">
      <c r="AA30" s="9">
        <v>46023</v>
      </c>
      <c r="AB30" t="s">
        <v>168</v>
      </c>
    </row>
    <row r="31" spans="3:28">
      <c r="AA31" s="9">
        <v>46388</v>
      </c>
      <c r="AB31" t="s">
        <v>164</v>
      </c>
    </row>
    <row r="32" spans="3:28">
      <c r="AA32" s="9">
        <v>46753</v>
      </c>
      <c r="AB32" t="s">
        <v>165</v>
      </c>
    </row>
    <row r="33" spans="27:28">
      <c r="AA33" s="9">
        <v>47119</v>
      </c>
      <c r="AB33" t="s">
        <v>166</v>
      </c>
    </row>
    <row r="34" spans="27:28">
      <c r="AA34" s="9">
        <v>47484</v>
      </c>
      <c r="AB34" t="s">
        <v>167</v>
      </c>
    </row>
  </sheetData>
  <sheetProtection algorithmName="SHA-512" hashValue="SDrl5XzXhpT84J8BAEdrDDrRa8NY561R4YN002lYdW19AxhKN/ClDdouaKimUU13gGYAF3EFQI72DbNo31cU8Q==" saltValue="idlODnCDZZ6GWlqftaRMmw==" spinCount="100000" sheet="1" objects="1" scenarios="1"/>
  <mergeCells count="4">
    <mergeCell ref="C9:C10"/>
    <mergeCell ref="G4:H4"/>
    <mergeCell ref="K5:O5"/>
    <mergeCell ref="J6:O6"/>
  </mergeCells>
  <phoneticPr fontId="1"/>
  <dataValidations count="1">
    <dataValidation type="list" allowBlank="1" showInputMessage="1" showErrorMessage="1" sqref="I6" xr:uid="{C880C1E2-1FEF-45B0-B8EF-48F77612A06C}">
      <formula1>$AA$26:$AA$34</formula1>
    </dataValidation>
  </dataValidations>
  <printOptions horizontalCentered="1"/>
  <pageMargins left="0.70866141732283472" right="0.70866141732283472" top="0.74803149606299213" bottom="0.74803149606299213" header="0.31496062992125984" footer="0.31496062992125984"/>
  <pageSetup paperSize="9"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E0804-469E-4396-9F39-4A7D669C8041}">
  <sheetPr codeName="Sheet4">
    <tabColor rgb="FFCCECFF"/>
    <pageSetUpPr fitToPage="1"/>
  </sheetPr>
  <dimension ref="C1:O22"/>
  <sheetViews>
    <sheetView showGridLines="0" view="pageBreakPreview" topLeftCell="A15" zoomScaleNormal="100" zoomScaleSheetLayoutView="100" workbookViewId="0">
      <selection activeCell="I19" sqref="I19"/>
    </sheetView>
  </sheetViews>
  <sheetFormatPr defaultRowHeight="18"/>
  <cols>
    <col min="2" max="2" width="1.69921875" customWidth="1"/>
    <col min="3" max="3" width="31.19921875" customWidth="1"/>
    <col min="4" max="10" width="12.59765625" customWidth="1"/>
    <col min="12" max="12" width="12.59765625" customWidth="1"/>
    <col min="14" max="14" width="12.59765625" customWidth="1"/>
    <col min="15" max="15" width="1.69921875" customWidth="1"/>
    <col min="17" max="17" width="11.5" customWidth="1"/>
    <col min="19" max="19" width="9.3984375" bestFit="1" customWidth="1"/>
    <col min="23" max="23" width="9.8984375" bestFit="1" customWidth="1"/>
  </cols>
  <sheetData>
    <row r="1" spans="3:15" ht="28.8">
      <c r="C1" s="21" t="s">
        <v>159</v>
      </c>
    </row>
    <row r="2" spans="3:15" ht="12" customHeight="1">
      <c r="C2" s="4"/>
    </row>
    <row r="3" spans="3:15" ht="12" customHeight="1">
      <c r="C3" s="4"/>
    </row>
    <row r="4" spans="3:15" ht="39" customHeight="1">
      <c r="C4" s="152" t="str">
        <f>総表!D6&amp;"："&amp;総表!E6</f>
        <v>生徒氏名：</v>
      </c>
      <c r="D4" s="22"/>
      <c r="E4" s="23"/>
      <c r="F4" s="4"/>
      <c r="G4" s="193" t="s">
        <v>16</v>
      </c>
      <c r="H4" s="194"/>
      <c r="I4" s="156">
        <f>総表!M10</f>
        <v>1</v>
      </c>
      <c r="J4" s="157" t="s">
        <v>5</v>
      </c>
      <c r="K4" s="4"/>
      <c r="L4" s="4"/>
      <c r="M4" s="4"/>
    </row>
    <row r="5" spans="3:15" ht="39" customHeight="1">
      <c r="C5" s="152" t="str">
        <f>総表!H6&amp;"："&amp;総表!I6</f>
        <v>家計急変者氏名：</v>
      </c>
      <c r="D5" s="153" t="s">
        <v>54</v>
      </c>
      <c r="E5" s="154">
        <f>総表!I7</f>
        <v>0</v>
      </c>
      <c r="F5" s="146" t="s">
        <v>147</v>
      </c>
      <c r="G5" s="154">
        <f>総表!E7</f>
        <v>0</v>
      </c>
      <c r="H5" s="4"/>
      <c r="I5" s="36"/>
      <c r="J5" s="36"/>
      <c r="K5" s="4"/>
      <c r="L5" s="4"/>
      <c r="M5" s="4"/>
    </row>
    <row r="6" spans="3:15" ht="12" customHeight="1">
      <c r="E6" s="9"/>
    </row>
    <row r="7" spans="3:15" ht="12" customHeight="1">
      <c r="E7" s="9"/>
    </row>
    <row r="8" spans="3:15" ht="22.2">
      <c r="C8" s="27" t="s">
        <v>84</v>
      </c>
      <c r="J8" s="28" t="s">
        <v>57</v>
      </c>
    </row>
    <row r="9" spans="3:15" ht="25.2" customHeight="1">
      <c r="C9" s="200" t="s">
        <v>4</v>
      </c>
      <c r="D9" s="150">
        <f>総表!M7</f>
        <v>0</v>
      </c>
      <c r="E9" s="150" t="str">
        <f>IF(総表!M10&gt;=2,EDATE(D9,1),"")</f>
        <v/>
      </c>
      <c r="F9" s="150" t="str">
        <f>IF(総表!M10&gt;=3,EDATE(E9,1),"")</f>
        <v/>
      </c>
      <c r="G9" s="150" t="str">
        <f>IF(総表!M10&gt;=4,EDATE(F9,1),"")</f>
        <v/>
      </c>
      <c r="H9" s="150" t="str">
        <f>IF(総表!M10&gt;=5,EDATE(G9,1),"")</f>
        <v/>
      </c>
      <c r="I9" s="150" t="str">
        <f>IF(総表!M10=6,EDATE(H9,1),"")</f>
        <v/>
      </c>
      <c r="J9" s="119" t="s">
        <v>51</v>
      </c>
    </row>
    <row r="10" spans="3:15" ht="25.2" customHeight="1">
      <c r="C10" s="192"/>
      <c r="D10" s="151">
        <f>D9</f>
        <v>0</v>
      </c>
      <c r="E10" s="151" t="str">
        <f t="shared" ref="E10:I10" si="0">E9</f>
        <v/>
      </c>
      <c r="F10" s="151" t="str">
        <f t="shared" si="0"/>
        <v/>
      </c>
      <c r="G10" s="151" t="str">
        <f t="shared" si="0"/>
        <v/>
      </c>
      <c r="H10" s="151" t="str">
        <f t="shared" si="0"/>
        <v/>
      </c>
      <c r="I10" s="151" t="str">
        <f t="shared" si="0"/>
        <v/>
      </c>
      <c r="J10" s="120" t="s">
        <v>52</v>
      </c>
      <c r="K10" s="6"/>
      <c r="L10" s="26"/>
    </row>
    <row r="11" spans="3:15" ht="22.8" thickBot="1">
      <c r="C11" s="121" t="s">
        <v>65</v>
      </c>
      <c r="D11" s="122"/>
      <c r="E11" s="122"/>
      <c r="F11" s="122"/>
      <c r="G11" s="122"/>
      <c r="H11" s="122"/>
      <c r="I11" s="122"/>
      <c r="J11" s="122"/>
      <c r="K11" s="5"/>
      <c r="L11" s="31" t="s">
        <v>53</v>
      </c>
      <c r="M11" s="5"/>
    </row>
    <row r="12" spans="3:15" ht="42.6" customHeight="1" thickBot="1">
      <c r="C12" s="80" t="s">
        <v>132</v>
      </c>
      <c r="D12" s="140"/>
      <c r="E12" s="140"/>
      <c r="F12" s="140"/>
      <c r="G12" s="140"/>
      <c r="H12" s="140"/>
      <c r="I12" s="140"/>
      <c r="J12" s="32">
        <f>SUM(D12:I12)</f>
        <v>0</v>
      </c>
      <c r="K12" s="18">
        <f>12/$I$4</f>
        <v>12</v>
      </c>
      <c r="L12" s="34">
        <f>ROUNDDOWN(J12*K12,0)</f>
        <v>0</v>
      </c>
      <c r="M12" s="18"/>
      <c r="N12" s="3"/>
      <c r="O12" s="3"/>
    </row>
    <row r="13" spans="3:15" ht="42.6" customHeight="1" thickBot="1">
      <c r="C13" s="80" t="s">
        <v>131</v>
      </c>
      <c r="D13" s="140"/>
      <c r="E13" s="140"/>
      <c r="F13" s="140"/>
      <c r="G13" s="141"/>
      <c r="H13" s="141"/>
      <c r="I13" s="141"/>
      <c r="J13" s="32">
        <f>SUM(D13:I13)</f>
        <v>0</v>
      </c>
      <c r="K13" s="18">
        <f>12/$I$4</f>
        <v>12</v>
      </c>
      <c r="L13" s="34">
        <f>ROUNDDOWN(J13*K13,0)</f>
        <v>0</v>
      </c>
      <c r="M13" s="2"/>
      <c r="N13" s="3"/>
      <c r="O13" s="3"/>
    </row>
    <row r="14" spans="3:15" ht="42.6" customHeight="1" thickBot="1">
      <c r="C14" s="80" t="s">
        <v>133</v>
      </c>
      <c r="D14" s="140"/>
      <c r="E14" s="140"/>
      <c r="F14" s="140"/>
      <c r="G14" s="141"/>
      <c r="H14" s="141"/>
      <c r="I14" s="141"/>
      <c r="J14" s="32">
        <f>SUM(D14:I14)</f>
        <v>0</v>
      </c>
      <c r="K14" s="18">
        <f>12/$I$4</f>
        <v>12</v>
      </c>
      <c r="L14" s="34">
        <f>ROUNDDOWN(J14*K14,0)</f>
        <v>0</v>
      </c>
      <c r="M14" s="18"/>
    </row>
    <row r="15" spans="3:15" ht="42.6" customHeight="1" thickBot="1">
      <c r="C15" s="80" t="s">
        <v>134</v>
      </c>
      <c r="D15" s="140"/>
      <c r="E15" s="140"/>
      <c r="F15" s="140"/>
      <c r="G15" s="140"/>
      <c r="H15" s="140"/>
      <c r="I15" s="140"/>
      <c r="J15" s="32">
        <f>SUM(D15:I15)</f>
        <v>0</v>
      </c>
      <c r="K15" s="18">
        <f>12/$I$4</f>
        <v>12</v>
      </c>
      <c r="L15" s="34">
        <f>ROUNDDOWN(J15*K15,0)</f>
        <v>0</v>
      </c>
      <c r="M15" s="2"/>
      <c r="N15" s="3"/>
      <c r="O15" s="3"/>
    </row>
    <row r="16" spans="3:15" ht="42.6" customHeight="1" thickBot="1">
      <c r="C16" s="80" t="s">
        <v>135</v>
      </c>
      <c r="D16" s="141"/>
      <c r="E16" s="141"/>
      <c r="F16" s="141"/>
      <c r="G16" s="141"/>
      <c r="H16" s="141"/>
      <c r="I16" s="141"/>
      <c r="J16" s="32">
        <f>SUM(D16:I16)</f>
        <v>0</v>
      </c>
      <c r="K16" s="18">
        <f>12/$I$4</f>
        <v>12</v>
      </c>
      <c r="L16" s="34">
        <f>ROUNDDOWN(J16*K16,0)</f>
        <v>0</v>
      </c>
      <c r="M16" s="18"/>
    </row>
    <row r="17" spans="3:15" ht="27" thickBot="1">
      <c r="C17" s="123" t="s">
        <v>61</v>
      </c>
      <c r="D17" s="33"/>
      <c r="E17" s="33"/>
      <c r="F17" s="33"/>
      <c r="G17" s="33"/>
      <c r="H17" s="33"/>
      <c r="I17" s="33"/>
      <c r="J17" s="33"/>
      <c r="K17" s="5"/>
      <c r="L17" s="31"/>
      <c r="M17" s="5"/>
    </row>
    <row r="18" spans="3:15" ht="42.6" customHeight="1" thickBot="1">
      <c r="C18" s="80" t="s">
        <v>136</v>
      </c>
      <c r="D18" s="140"/>
      <c r="E18" s="140"/>
      <c r="F18" s="140"/>
      <c r="G18" s="140"/>
      <c r="H18" s="140"/>
      <c r="I18" s="140"/>
      <c r="J18" s="32">
        <f>SUM(D18:I18)</f>
        <v>0</v>
      </c>
      <c r="K18" s="2"/>
      <c r="L18" s="34">
        <f>J18</f>
        <v>0</v>
      </c>
      <c r="M18" s="2"/>
      <c r="N18" s="3"/>
      <c r="O18" s="3"/>
    </row>
    <row r="19" spans="3:15" ht="42.6" customHeight="1" thickBot="1">
      <c r="C19" s="80" t="s">
        <v>137</v>
      </c>
      <c r="D19" s="140"/>
      <c r="E19" s="140"/>
      <c r="F19" s="140"/>
      <c r="G19" s="140"/>
      <c r="H19" s="140"/>
      <c r="I19" s="140"/>
      <c r="J19" s="32">
        <f>SUM(D19:I19)</f>
        <v>0</v>
      </c>
      <c r="K19" s="2"/>
      <c r="L19" s="34">
        <f>J19</f>
        <v>0</v>
      </c>
      <c r="M19" s="37"/>
      <c r="N19" s="38" t="s">
        <v>60</v>
      </c>
      <c r="O19" s="3"/>
    </row>
    <row r="20" spans="3:15" ht="42.6" customHeight="1" thickBot="1">
      <c r="C20" s="80" t="s">
        <v>138</v>
      </c>
      <c r="D20" s="141"/>
      <c r="E20" s="140"/>
      <c r="F20" s="140"/>
      <c r="G20" s="141"/>
      <c r="H20" s="141"/>
      <c r="I20" s="141"/>
      <c r="J20" s="32">
        <f>SUM(D20:I20)</f>
        <v>0</v>
      </c>
      <c r="K20" s="2"/>
      <c r="L20" s="34">
        <f>J20</f>
        <v>0</v>
      </c>
      <c r="M20" s="18"/>
      <c r="N20" s="31" t="s">
        <v>53</v>
      </c>
    </row>
    <row r="21" spans="3:15" ht="42.6" customHeight="1" thickTop="1" thickBot="1">
      <c r="C21" s="80" t="s">
        <v>139</v>
      </c>
      <c r="D21" s="140"/>
      <c r="E21" s="140"/>
      <c r="F21" s="140"/>
      <c r="G21" s="140"/>
      <c r="H21" s="140"/>
      <c r="I21" s="140"/>
      <c r="J21" s="32">
        <f>SUM(D21:I21)</f>
        <v>0</v>
      </c>
      <c r="K21" s="2"/>
      <c r="L21" s="34">
        <f>J21</f>
        <v>0</v>
      </c>
      <c r="M21" s="2"/>
      <c r="N21" s="35">
        <f>MAX(SUM(L12:L16,L18:L21),0)</f>
        <v>0</v>
      </c>
      <c r="O21" s="3"/>
    </row>
    <row r="22" spans="3:15" ht="22.2">
      <c r="O22" s="26" t="s">
        <v>83</v>
      </c>
    </row>
  </sheetData>
  <sheetProtection algorithmName="SHA-512" hashValue="CwBJsUf9s31/zf9phHAqF3B9eOlsnxec7TkxEPK2GZBTDSHL+YHGooDMKQzyPx8nAueOy3rn8a8y/e14DSBqrw==" saltValue="1C7f5VIFWmjTgCihPK7J6g==" spinCount="100000" sheet="1" objects="1" scenarios="1"/>
  <mergeCells count="2">
    <mergeCell ref="G4:H4"/>
    <mergeCell ref="C9:C10"/>
  </mergeCells>
  <phoneticPr fontId="1"/>
  <printOptions horizontalCentered="1"/>
  <pageMargins left="0.70866141732283472" right="0.70866141732283472" top="0.74803149606299213" bottom="0.74803149606299213" header="0.31496062992125984" footer="0.31496062992125984"/>
  <pageSetup paperSize="9"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030CA-E785-4330-BFE3-71548118C3DD}">
  <sheetPr codeName="Sheet5">
    <tabColor rgb="FFCCECFF"/>
    <pageSetUpPr fitToPage="1"/>
  </sheetPr>
  <dimension ref="C1:O20"/>
  <sheetViews>
    <sheetView showGridLines="0" view="pageBreakPreview" topLeftCell="A17" zoomScaleNormal="100" zoomScaleSheetLayoutView="100" workbookViewId="0">
      <selection activeCell="C14" sqref="C14"/>
    </sheetView>
  </sheetViews>
  <sheetFormatPr defaultColWidth="8.69921875" defaultRowHeight="18"/>
  <cols>
    <col min="1" max="1" width="8.69921875" style="67"/>
    <col min="2" max="2" width="1.69921875" style="67" customWidth="1"/>
    <col min="3" max="3" width="31.19921875" style="67" customWidth="1"/>
    <col min="4" max="4" width="13.8984375" style="67" customWidth="1"/>
    <col min="5" max="5" width="11.19921875" style="67" customWidth="1"/>
    <col min="6" max="6" width="13.8984375" style="67" customWidth="1"/>
    <col min="7" max="7" width="11.19921875" style="67" customWidth="1"/>
    <col min="8" max="8" width="13.8984375" style="67" customWidth="1"/>
    <col min="9" max="9" width="11.19921875" style="67" customWidth="1"/>
    <col min="10" max="10" width="12.59765625" style="67" customWidth="1"/>
    <col min="11" max="11" width="8.69921875" style="67"/>
    <col min="12" max="12" width="12.59765625" style="67" customWidth="1"/>
    <col min="13" max="13" width="8.69921875" style="67"/>
    <col min="14" max="14" width="12.59765625" style="67" customWidth="1"/>
    <col min="15" max="15" width="1.69921875" style="67" customWidth="1"/>
    <col min="16" max="16" width="8.69921875" style="67"/>
    <col min="17" max="17" width="11.5" style="67" customWidth="1"/>
    <col min="18" max="18" width="8.69921875" style="67"/>
    <col min="19" max="19" width="9.3984375" style="67" bestFit="1" customWidth="1"/>
    <col min="20" max="22" width="8.69921875" style="67"/>
    <col min="23" max="23" width="9.8984375" style="67" bestFit="1" customWidth="1"/>
    <col min="24" max="16384" width="8.69921875" style="67"/>
  </cols>
  <sheetData>
    <row r="1" spans="3:15" ht="66" customHeight="1">
      <c r="C1" s="66" t="s">
        <v>160</v>
      </c>
    </row>
    <row r="2" spans="3:15" ht="28.8">
      <c r="C2" s="66" t="s">
        <v>150</v>
      </c>
    </row>
    <row r="3" spans="3:15" ht="72" customHeight="1">
      <c r="C3" s="211" t="s">
        <v>151</v>
      </c>
      <c r="D3" s="211"/>
      <c r="E3" s="211"/>
      <c r="F3" s="211"/>
      <c r="G3" s="211"/>
      <c r="H3" s="211"/>
      <c r="I3" s="211"/>
      <c r="J3" s="211"/>
      <c r="K3" s="211"/>
      <c r="L3" s="211"/>
      <c r="M3" s="211"/>
      <c r="N3" s="211"/>
    </row>
    <row r="4" spans="3:15" ht="12" customHeight="1">
      <c r="C4" s="68"/>
    </row>
    <row r="5" spans="3:15" ht="12" customHeight="1">
      <c r="C5" s="68"/>
    </row>
    <row r="6" spans="3:15" ht="39" customHeight="1">
      <c r="C6" s="145" t="str">
        <f>総表!D6&amp;"："&amp;総表!E6</f>
        <v>生徒氏名：</v>
      </c>
      <c r="D6" s="69"/>
      <c r="E6" s="70"/>
      <c r="F6" s="68"/>
      <c r="G6" s="186" t="s">
        <v>16</v>
      </c>
      <c r="H6" s="187"/>
      <c r="I6" s="148">
        <f>総表!M10</f>
        <v>1</v>
      </c>
      <c r="J6" s="149" t="s">
        <v>5</v>
      </c>
      <c r="K6" s="68"/>
      <c r="L6" s="80" t="s">
        <v>68</v>
      </c>
      <c r="M6" s="214"/>
      <c r="N6" s="215"/>
    </row>
    <row r="7" spans="3:15" ht="11.4" customHeight="1">
      <c r="C7" s="72"/>
      <c r="D7" s="73"/>
      <c r="E7" s="74"/>
      <c r="F7" s="68"/>
      <c r="G7" s="71"/>
      <c r="H7" s="71"/>
      <c r="I7" s="75"/>
      <c r="J7" s="75"/>
      <c r="K7" s="68"/>
      <c r="L7" s="68"/>
      <c r="M7" s="68"/>
    </row>
    <row r="8" spans="3:15" ht="39" customHeight="1">
      <c r="C8" s="145" t="str">
        <f>総表!H6&amp;"："&amp;総表!I6</f>
        <v>家計急変者氏名：</v>
      </c>
      <c r="D8" s="146" t="s">
        <v>54</v>
      </c>
      <c r="E8" s="147">
        <f>総表!I7</f>
        <v>0</v>
      </c>
      <c r="F8" s="146" t="s">
        <v>147</v>
      </c>
      <c r="G8" s="147">
        <f>総表!E7</f>
        <v>0</v>
      </c>
      <c r="H8" s="81" t="s">
        <v>63</v>
      </c>
      <c r="I8" s="212"/>
      <c r="J8" s="212"/>
      <c r="K8" s="212"/>
      <c r="L8" s="212"/>
      <c r="M8" s="212"/>
      <c r="N8" s="213"/>
    </row>
    <row r="9" spans="3:15" ht="12" customHeight="1">
      <c r="E9" s="76"/>
    </row>
    <row r="10" spans="3:15" ht="12" customHeight="1">
      <c r="E10" s="76"/>
    </row>
    <row r="11" spans="3:15" ht="22.2">
      <c r="C11" s="68"/>
      <c r="I11" s="77"/>
      <c r="J11" s="77"/>
    </row>
    <row r="12" spans="3:15" ht="25.2" customHeight="1">
      <c r="C12" s="203" t="s">
        <v>4</v>
      </c>
      <c r="D12" s="205" t="s">
        <v>152</v>
      </c>
      <c r="E12" s="206"/>
      <c r="F12" s="216" t="s">
        <v>62</v>
      </c>
      <c r="G12" s="206"/>
      <c r="H12" s="205" t="s">
        <v>153</v>
      </c>
      <c r="I12" s="217"/>
      <c r="J12" s="82"/>
      <c r="K12" s="78"/>
      <c r="L12" s="78"/>
      <c r="M12" s="78"/>
      <c r="N12" s="78"/>
    </row>
    <row r="13" spans="3:15" ht="25.2" customHeight="1">
      <c r="C13" s="204"/>
      <c r="D13" s="207"/>
      <c r="E13" s="208"/>
      <c r="F13" s="207"/>
      <c r="G13" s="208"/>
      <c r="H13" s="218"/>
      <c r="I13" s="219"/>
      <c r="J13" s="82"/>
      <c r="K13" s="78"/>
      <c r="L13" s="78"/>
      <c r="M13" s="78"/>
      <c r="N13" s="78"/>
    </row>
    <row r="14" spans="3:15" ht="42.6" customHeight="1">
      <c r="C14" s="159">
        <f>総表!M7</f>
        <v>0</v>
      </c>
      <c r="D14" s="201"/>
      <c r="E14" s="202"/>
      <c r="F14" s="201"/>
      <c r="G14" s="202"/>
      <c r="H14" s="209">
        <f t="shared" ref="H14:H19" si="0">D14-F14</f>
        <v>0</v>
      </c>
      <c r="I14" s="210"/>
      <c r="J14" s="82"/>
      <c r="K14" s="78"/>
      <c r="L14" s="78"/>
      <c r="M14" s="78"/>
      <c r="N14" s="78"/>
      <c r="O14" s="79"/>
    </row>
    <row r="15" spans="3:15" ht="42.6" customHeight="1">
      <c r="C15" s="159" t="str">
        <f>IF(総表!$M$10&gt;=2,EDATE(C14,1),"")</f>
        <v/>
      </c>
      <c r="D15" s="201"/>
      <c r="E15" s="202"/>
      <c r="F15" s="201"/>
      <c r="G15" s="202"/>
      <c r="H15" s="209">
        <f t="shared" si="0"/>
        <v>0</v>
      </c>
      <c r="I15" s="210"/>
      <c r="J15" s="82"/>
      <c r="K15" s="78"/>
      <c r="L15" s="78"/>
      <c r="M15" s="78"/>
      <c r="N15" s="78"/>
      <c r="O15" s="79"/>
    </row>
    <row r="16" spans="3:15" ht="42.6" customHeight="1">
      <c r="C16" s="159" t="str">
        <f>IF(総表!$M$10&gt;=3,EDATE(C15,1),"")</f>
        <v/>
      </c>
      <c r="D16" s="201"/>
      <c r="E16" s="202"/>
      <c r="F16" s="201"/>
      <c r="G16" s="202"/>
      <c r="H16" s="209">
        <f t="shared" si="0"/>
        <v>0</v>
      </c>
      <c r="I16" s="210"/>
      <c r="J16" s="82"/>
      <c r="K16" s="78"/>
      <c r="L16" s="78"/>
      <c r="M16" s="78"/>
      <c r="N16" s="78"/>
    </row>
    <row r="17" spans="3:15" ht="42.6" customHeight="1">
      <c r="C17" s="159" t="str">
        <f>IF(総表!$M$10&gt;=4,EDATE(C16,1),"")</f>
        <v/>
      </c>
      <c r="D17" s="201"/>
      <c r="E17" s="202"/>
      <c r="F17" s="201"/>
      <c r="G17" s="202"/>
      <c r="H17" s="209">
        <f t="shared" si="0"/>
        <v>0</v>
      </c>
      <c r="I17" s="210"/>
      <c r="J17" s="82"/>
      <c r="K17" s="78"/>
      <c r="L17" s="78"/>
      <c r="M17" s="78"/>
      <c r="N17" s="78"/>
      <c r="O17" s="79"/>
    </row>
    <row r="18" spans="3:15" ht="42.6" customHeight="1">
      <c r="C18" s="159" t="str">
        <f>IF(総表!$M$10&gt;=5,EDATE(C17,1),"")</f>
        <v/>
      </c>
      <c r="D18" s="201"/>
      <c r="E18" s="202"/>
      <c r="F18" s="201"/>
      <c r="G18" s="202"/>
      <c r="H18" s="209">
        <f t="shared" si="0"/>
        <v>0</v>
      </c>
      <c r="I18" s="210"/>
      <c r="J18" s="82"/>
      <c r="K18" s="78"/>
      <c r="L18" s="78"/>
      <c r="M18" s="78"/>
      <c r="N18" s="78"/>
    </row>
    <row r="19" spans="3:15" ht="42.6" customHeight="1">
      <c r="C19" s="159" t="str">
        <f>IF(総表!$M$10=6,EDATE(C18,1),"")</f>
        <v/>
      </c>
      <c r="D19" s="201"/>
      <c r="E19" s="202"/>
      <c r="F19" s="201"/>
      <c r="G19" s="202"/>
      <c r="H19" s="209">
        <f t="shared" si="0"/>
        <v>0</v>
      </c>
      <c r="I19" s="210"/>
      <c r="J19" s="82"/>
      <c r="K19" s="78"/>
      <c r="L19" s="78"/>
      <c r="M19" s="78"/>
      <c r="N19" s="78"/>
      <c r="O19" s="79"/>
    </row>
    <row r="20" spans="3:15" ht="5.4" customHeight="1"/>
  </sheetData>
  <sheetProtection algorithmName="SHA-512" hashValue="sNbLt3fUa8njiYsHer30prAbjYIYO2UOAXpd0tEg2sA6lVf0g6DH6qxCYaBHI7YW8d4SYmM3/eSarIavV5rGqQ==" saltValue="Gyc5hmtjCMuJZUKVXDN8YA==" spinCount="100000" sheet="1" objects="1" scenarios="1"/>
  <mergeCells count="26">
    <mergeCell ref="C3:N3"/>
    <mergeCell ref="I8:N8"/>
    <mergeCell ref="H14:I14"/>
    <mergeCell ref="H15:I15"/>
    <mergeCell ref="H16:I16"/>
    <mergeCell ref="D14:E14"/>
    <mergeCell ref="D15:E15"/>
    <mergeCell ref="D16:E16"/>
    <mergeCell ref="M6:N6"/>
    <mergeCell ref="F12:G13"/>
    <mergeCell ref="H12:I13"/>
    <mergeCell ref="F14:G14"/>
    <mergeCell ref="F15:G15"/>
    <mergeCell ref="F16:G16"/>
    <mergeCell ref="D17:E17"/>
    <mergeCell ref="D18:E18"/>
    <mergeCell ref="D19:E19"/>
    <mergeCell ref="G6:H6"/>
    <mergeCell ref="C12:C13"/>
    <mergeCell ref="D12:E13"/>
    <mergeCell ref="H17:I17"/>
    <mergeCell ref="H18:I18"/>
    <mergeCell ref="H19:I19"/>
    <mergeCell ref="F17:G17"/>
    <mergeCell ref="F18:G18"/>
    <mergeCell ref="F19:G19"/>
  </mergeCells>
  <phoneticPr fontId="1"/>
  <dataValidations count="1">
    <dataValidation type="list" allowBlank="1" showInputMessage="1" showErrorMessage="1" sqref="M6:N6" xr:uid="{5AE6028A-12FD-47B6-865D-F82414616A43}">
      <formula1>"①事業所得,②不動産所得,③利子所得,④配当所得,⑤業務に係る雑所得"</formula1>
    </dataValidation>
  </dataValidations>
  <printOptions horizontalCentered="1"/>
  <pageMargins left="0.70866141732283472" right="0.70866141732283472" top="0.74803149606299213" bottom="0.74803149606299213" header="0.31496062992125984" footer="0.31496062992125984"/>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9086-3683-4836-A209-B27D1F75DF0B}">
  <sheetPr codeName="Sheet6">
    <tabColor rgb="FFCCECFF"/>
    <pageSetUpPr fitToPage="1"/>
  </sheetPr>
  <dimension ref="C1:O21"/>
  <sheetViews>
    <sheetView showGridLines="0" view="pageBreakPreview" zoomScaleNormal="100" zoomScaleSheetLayoutView="100" workbookViewId="0">
      <selection activeCell="J17" sqref="J17"/>
    </sheetView>
  </sheetViews>
  <sheetFormatPr defaultColWidth="8.69921875" defaultRowHeight="18"/>
  <cols>
    <col min="1" max="1" width="8.69921875" style="67"/>
    <col min="2" max="2" width="1.69921875" style="67" customWidth="1"/>
    <col min="3" max="3" width="31.19921875" style="67" customWidth="1"/>
    <col min="4" max="4" width="13.8984375" style="67" customWidth="1"/>
    <col min="5" max="5" width="11.19921875" style="67" customWidth="1"/>
    <col min="6" max="6" width="13.8984375" style="67" customWidth="1"/>
    <col min="7" max="7" width="11.19921875" style="67" customWidth="1"/>
    <col min="8" max="10" width="12.59765625" style="67" customWidth="1"/>
    <col min="11" max="11" width="8.69921875" style="67"/>
    <col min="12" max="12" width="12.59765625" style="67" customWidth="1"/>
    <col min="13" max="13" width="8.69921875" style="67"/>
    <col min="14" max="14" width="12.59765625" style="67" customWidth="1"/>
    <col min="15" max="15" width="1.69921875" style="67" customWidth="1"/>
    <col min="16" max="16" width="8.69921875" style="67"/>
    <col min="17" max="17" width="11.5" style="67" customWidth="1"/>
    <col min="18" max="18" width="8.69921875" style="67"/>
    <col min="19" max="19" width="9.3984375" style="67" bestFit="1" customWidth="1"/>
    <col min="20" max="22" width="8.69921875" style="67"/>
    <col min="23" max="23" width="9.8984375" style="67" bestFit="1" customWidth="1"/>
    <col min="24" max="16384" width="8.69921875" style="67"/>
  </cols>
  <sheetData>
    <row r="1" spans="3:15" ht="66.599999999999994" customHeight="1">
      <c r="C1" s="66" t="s">
        <v>161</v>
      </c>
    </row>
    <row r="2" spans="3:15" ht="28.8">
      <c r="C2" s="66" t="s">
        <v>146</v>
      </c>
    </row>
    <row r="3" spans="3:15" ht="56.4" customHeight="1">
      <c r="C3" s="211" t="s">
        <v>140</v>
      </c>
      <c r="D3" s="211"/>
      <c r="E3" s="211"/>
      <c r="F3" s="211"/>
      <c r="G3" s="211"/>
      <c r="H3" s="211"/>
      <c r="I3" s="211"/>
      <c r="J3" s="211"/>
      <c r="K3" s="211"/>
      <c r="L3" s="211"/>
      <c r="M3" s="211"/>
      <c r="N3" s="211"/>
    </row>
    <row r="4" spans="3:15" ht="12" customHeight="1">
      <c r="C4" s="68"/>
    </row>
    <row r="5" spans="3:15" ht="12" customHeight="1">
      <c r="C5" s="68"/>
    </row>
    <row r="6" spans="3:15" ht="39" customHeight="1">
      <c r="C6" s="145" t="str">
        <f>総表!D6&amp;"："&amp;総表!E6</f>
        <v>生徒氏名：</v>
      </c>
      <c r="D6" s="69"/>
      <c r="E6" s="70"/>
      <c r="F6" s="68"/>
      <c r="G6" s="186" t="s">
        <v>16</v>
      </c>
      <c r="H6" s="187"/>
      <c r="I6" s="148">
        <f>総表!M10</f>
        <v>1</v>
      </c>
      <c r="J6" s="149" t="s">
        <v>5</v>
      </c>
      <c r="K6" s="68"/>
      <c r="L6" s="68"/>
      <c r="M6" s="68"/>
    </row>
    <row r="7" spans="3:15" ht="11.4" customHeight="1">
      <c r="C7" s="72"/>
      <c r="D7" s="73"/>
      <c r="E7" s="74"/>
      <c r="F7" s="68"/>
      <c r="G7" s="71"/>
      <c r="H7" s="71"/>
      <c r="I7" s="75"/>
      <c r="J7" s="75"/>
      <c r="K7" s="68"/>
      <c r="L7" s="68"/>
      <c r="M7" s="68"/>
    </row>
    <row r="8" spans="3:15" ht="39" customHeight="1">
      <c r="C8" s="145" t="str">
        <f>総表!H6&amp;"："&amp;総表!I6</f>
        <v>家計急変者氏名：</v>
      </c>
      <c r="D8" s="146" t="s">
        <v>54</v>
      </c>
      <c r="E8" s="147">
        <f>総表!I7</f>
        <v>0</v>
      </c>
      <c r="F8" s="146" t="s">
        <v>147</v>
      </c>
      <c r="G8" s="147">
        <f>総表!E7</f>
        <v>0</v>
      </c>
      <c r="H8" s="69"/>
      <c r="I8" s="68"/>
      <c r="J8" s="68"/>
      <c r="K8" s="68"/>
      <c r="L8" s="68"/>
      <c r="M8" s="68"/>
      <c r="N8" s="68"/>
    </row>
    <row r="9" spans="3:15" ht="10.199999999999999" customHeight="1">
      <c r="E9" s="76"/>
    </row>
    <row r="10" spans="3:15" ht="10.199999999999999" customHeight="1">
      <c r="E10" s="76"/>
    </row>
    <row r="11" spans="3:15" ht="10.199999999999999" customHeight="1">
      <c r="C11" s="68"/>
      <c r="I11" s="77"/>
      <c r="J11" s="77"/>
    </row>
    <row r="12" spans="3:15" ht="25.2" customHeight="1">
      <c r="C12" s="220" t="s">
        <v>66</v>
      </c>
      <c r="D12" s="205" t="s">
        <v>148</v>
      </c>
      <c r="E12" s="206"/>
      <c r="F12" s="205" t="s">
        <v>162</v>
      </c>
      <c r="G12" s="206"/>
      <c r="H12" s="221" t="s">
        <v>149</v>
      </c>
      <c r="I12" s="222"/>
      <c r="J12" s="225" t="s">
        <v>67</v>
      </c>
      <c r="K12" s="78"/>
      <c r="L12" s="78"/>
      <c r="M12" s="78"/>
      <c r="N12" s="78"/>
    </row>
    <row r="13" spans="3:15" ht="25.2" customHeight="1">
      <c r="C13" s="204"/>
      <c r="D13" s="207"/>
      <c r="E13" s="208"/>
      <c r="F13" s="207"/>
      <c r="G13" s="208"/>
      <c r="H13" s="223"/>
      <c r="I13" s="224"/>
      <c r="J13" s="225"/>
      <c r="K13" s="78"/>
      <c r="L13" s="78"/>
      <c r="M13" s="78"/>
      <c r="N13" s="78"/>
    </row>
    <row r="14" spans="3:15" ht="42.6" customHeight="1">
      <c r="C14" s="142"/>
      <c r="D14" s="201"/>
      <c r="E14" s="202"/>
      <c r="F14" s="201"/>
      <c r="G14" s="202"/>
      <c r="H14" s="209">
        <f>D14-F14</f>
        <v>0</v>
      </c>
      <c r="I14" s="210"/>
      <c r="J14" s="143"/>
      <c r="K14" s="78"/>
      <c r="L14" s="78"/>
      <c r="M14" s="78"/>
      <c r="N14" s="78"/>
      <c r="O14" s="79"/>
    </row>
    <row r="15" spans="3:15" ht="42.6" customHeight="1">
      <c r="C15" s="142"/>
      <c r="D15" s="201"/>
      <c r="E15" s="202"/>
      <c r="F15" s="201"/>
      <c r="G15" s="202"/>
      <c r="H15" s="209">
        <f t="shared" ref="H15:H21" si="0">D15-F15</f>
        <v>0</v>
      </c>
      <c r="I15" s="210"/>
      <c r="J15" s="143"/>
      <c r="K15" s="78"/>
      <c r="L15" s="78"/>
      <c r="M15" s="78"/>
      <c r="N15" s="78"/>
      <c r="O15" s="79"/>
    </row>
    <row r="16" spans="3:15" ht="42.6" customHeight="1">
      <c r="C16" s="142"/>
      <c r="D16" s="201"/>
      <c r="E16" s="202"/>
      <c r="F16" s="201"/>
      <c r="G16" s="202"/>
      <c r="H16" s="209">
        <f t="shared" si="0"/>
        <v>0</v>
      </c>
      <c r="I16" s="210"/>
      <c r="J16" s="143"/>
      <c r="K16" s="78"/>
      <c r="L16" s="78"/>
      <c r="M16" s="78"/>
      <c r="N16" s="78"/>
    </row>
    <row r="17" spans="3:15" ht="42.6" customHeight="1">
      <c r="C17" s="142"/>
      <c r="D17" s="201"/>
      <c r="E17" s="202"/>
      <c r="F17" s="201"/>
      <c r="G17" s="202"/>
      <c r="H17" s="209">
        <f t="shared" si="0"/>
        <v>0</v>
      </c>
      <c r="I17" s="210"/>
      <c r="J17" s="143"/>
      <c r="K17" s="78"/>
      <c r="L17" s="78"/>
      <c r="M17" s="78"/>
      <c r="N17" s="78"/>
      <c r="O17" s="79"/>
    </row>
    <row r="18" spans="3:15" ht="42.6" customHeight="1">
      <c r="C18" s="142"/>
      <c r="D18" s="201"/>
      <c r="E18" s="202"/>
      <c r="F18" s="201"/>
      <c r="G18" s="202"/>
      <c r="H18" s="209">
        <f t="shared" si="0"/>
        <v>0</v>
      </c>
      <c r="I18" s="210"/>
      <c r="J18" s="143"/>
      <c r="K18" s="78"/>
      <c r="L18" s="78"/>
      <c r="M18" s="78"/>
      <c r="N18" s="78"/>
      <c r="O18" s="79"/>
    </row>
    <row r="19" spans="3:15" ht="42.6" customHeight="1">
      <c r="C19" s="142"/>
      <c r="D19" s="201"/>
      <c r="E19" s="202"/>
      <c r="F19" s="201"/>
      <c r="G19" s="202"/>
      <c r="H19" s="209">
        <f t="shared" si="0"/>
        <v>0</v>
      </c>
      <c r="I19" s="210"/>
      <c r="J19" s="143"/>
      <c r="K19" s="78"/>
      <c r="L19" s="78"/>
      <c r="M19" s="78"/>
      <c r="N19" s="78"/>
      <c r="O19" s="79"/>
    </row>
    <row r="20" spans="3:15" ht="42.6" customHeight="1">
      <c r="C20" s="142"/>
      <c r="D20" s="201"/>
      <c r="E20" s="202"/>
      <c r="F20" s="201"/>
      <c r="G20" s="202"/>
      <c r="H20" s="209">
        <f t="shared" si="0"/>
        <v>0</v>
      </c>
      <c r="I20" s="210"/>
      <c r="J20" s="143"/>
      <c r="K20" s="78"/>
      <c r="L20" s="78"/>
      <c r="M20" s="78"/>
      <c r="N20" s="78"/>
    </row>
    <row r="21" spans="3:15" ht="42.6" customHeight="1">
      <c r="C21" s="142"/>
      <c r="D21" s="201"/>
      <c r="E21" s="202"/>
      <c r="F21" s="201"/>
      <c r="G21" s="202"/>
      <c r="H21" s="209">
        <f t="shared" si="0"/>
        <v>0</v>
      </c>
      <c r="I21" s="210"/>
      <c r="J21" s="143"/>
      <c r="K21" s="78"/>
      <c r="L21" s="78"/>
      <c r="M21" s="78"/>
      <c r="N21" s="78"/>
      <c r="O21" s="79"/>
    </row>
  </sheetData>
  <sheetProtection algorithmName="SHA-512" hashValue="rMdByXS2a2O+QNhRpT7FRSckFqoQlMUdvqQwPHNVLJeFX/2X+Tgl5AeIIiJ/fx0FOtWplJWfmfzwpjwmOhcLEw==" saltValue="IJwBvkS3QCIOUik2xDPezQ==" spinCount="100000" sheet="1" objects="1" scenarios="1"/>
  <mergeCells count="31">
    <mergeCell ref="D20:E20"/>
    <mergeCell ref="F20:G20"/>
    <mergeCell ref="H20:I20"/>
    <mergeCell ref="D21:E21"/>
    <mergeCell ref="F21:G21"/>
    <mergeCell ref="H21:I21"/>
    <mergeCell ref="D16:E16"/>
    <mergeCell ref="F16:G16"/>
    <mergeCell ref="H16:I16"/>
    <mergeCell ref="D19:E19"/>
    <mergeCell ref="F19:G19"/>
    <mergeCell ref="H19:I19"/>
    <mergeCell ref="D17:E17"/>
    <mergeCell ref="F17:G17"/>
    <mergeCell ref="H17:I17"/>
    <mergeCell ref="D18:E18"/>
    <mergeCell ref="F18:G18"/>
    <mergeCell ref="H18:I18"/>
    <mergeCell ref="D14:E14"/>
    <mergeCell ref="F14:G14"/>
    <mergeCell ref="H14:I14"/>
    <mergeCell ref="D15:E15"/>
    <mergeCell ref="F15:G15"/>
    <mergeCell ref="H15:I15"/>
    <mergeCell ref="C3:N3"/>
    <mergeCell ref="G6:H6"/>
    <mergeCell ref="C12:C13"/>
    <mergeCell ref="D12:E13"/>
    <mergeCell ref="F12:G13"/>
    <mergeCell ref="H12:I13"/>
    <mergeCell ref="J12:J13"/>
  </mergeCells>
  <phoneticPr fontId="1"/>
  <printOptions horizontalCentered="1"/>
  <pageMargins left="0.70866141732283472" right="0.70866141732283472" top="0.74803149606299213" bottom="0.74803149606299213" header="0.31496062992125984" footer="0.31496062992125984"/>
  <pageSetup paperSize="9" scale="69" orientation="landscape" cellComments="asDisplayed"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06C1-0431-44B4-BDF3-8DE2739DA2C9}">
  <sheetPr codeName="Sheet7">
    <tabColor rgb="FFCCECFF"/>
  </sheetPr>
  <dimension ref="A1:AH120"/>
  <sheetViews>
    <sheetView view="pageBreakPreview" zoomScale="115" zoomScaleNormal="85" zoomScaleSheetLayoutView="115" workbookViewId="0"/>
  </sheetViews>
  <sheetFormatPr defaultRowHeight="18" outlineLevelCol="1"/>
  <cols>
    <col min="1" max="1" width="10.09765625" customWidth="1"/>
    <col min="2" max="2" width="3.69921875" customWidth="1"/>
    <col min="3" max="3" width="10.09765625" customWidth="1"/>
    <col min="4" max="5" width="8.69921875" customWidth="1"/>
    <col min="6" max="7" width="11.09765625" customWidth="1"/>
    <col min="8" max="8" width="2.69921875" customWidth="1"/>
    <col min="9" max="9" width="38.69921875" hidden="1" customWidth="1" outlineLevel="1"/>
    <col min="10" max="12" width="14.3984375" hidden="1" customWidth="1" outlineLevel="1"/>
    <col min="13" max="13" width="0" hidden="1" customWidth="1" outlineLevel="1"/>
    <col min="14" max="14" width="10.19921875" customWidth="1" collapsed="1"/>
    <col min="15" max="15" width="3.69921875" style="2" customWidth="1"/>
    <col min="16" max="16" width="10.19921875" customWidth="1"/>
    <col min="18" max="20" width="10.69921875" customWidth="1"/>
    <col min="22" max="24" width="10.69921875" customWidth="1"/>
    <col min="26" max="28" width="10.69921875" customWidth="1"/>
    <col min="29" max="29" width="18.19921875" customWidth="1"/>
    <col min="30" max="31" width="16.69921875" customWidth="1"/>
    <col min="32" max="33" width="9.69921875" customWidth="1"/>
  </cols>
  <sheetData>
    <row r="1" spans="1:34">
      <c r="I1" s="59" t="s">
        <v>112</v>
      </c>
      <c r="J1" s="59" t="s">
        <v>112</v>
      </c>
      <c r="K1" s="59" t="s">
        <v>112</v>
      </c>
      <c r="L1" s="59" t="s">
        <v>112</v>
      </c>
      <c r="M1" s="59" t="s">
        <v>112</v>
      </c>
    </row>
    <row r="3" spans="1:34">
      <c r="A3" s="7" t="s">
        <v>115</v>
      </c>
      <c r="B3" s="7"/>
      <c r="C3" s="7"/>
      <c r="D3" s="2"/>
      <c r="E3" s="2"/>
      <c r="F3" s="7"/>
      <c r="G3" s="7"/>
      <c r="J3" t="s">
        <v>85</v>
      </c>
      <c r="K3" t="s">
        <v>86</v>
      </c>
      <c r="N3" s="7" t="s">
        <v>8</v>
      </c>
      <c r="O3" s="16"/>
      <c r="P3" s="7"/>
      <c r="R3" s="7"/>
      <c r="S3" s="7"/>
      <c r="V3" s="7"/>
      <c r="W3" s="7"/>
      <c r="Z3" s="7"/>
      <c r="AA3" s="7"/>
      <c r="AD3" s="7" t="s">
        <v>13</v>
      </c>
      <c r="AF3" s="7"/>
      <c r="AG3" s="7"/>
    </row>
    <row r="4" spans="1:34">
      <c r="A4" s="226" t="s">
        <v>90</v>
      </c>
      <c r="B4" s="226"/>
      <c r="C4" s="226"/>
      <c r="D4" s="47" t="s">
        <v>9</v>
      </c>
      <c r="E4" s="47" t="s">
        <v>10</v>
      </c>
      <c r="F4" s="42" t="s">
        <v>97</v>
      </c>
      <c r="G4" s="42" t="s">
        <v>95</v>
      </c>
      <c r="I4" s="49" t="s">
        <v>19</v>
      </c>
      <c r="J4" s="49" t="s">
        <v>18</v>
      </c>
      <c r="K4" s="49" t="s">
        <v>18</v>
      </c>
      <c r="N4" s="7" t="s">
        <v>126</v>
      </c>
      <c r="O4" s="16"/>
      <c r="P4" s="7"/>
      <c r="R4" s="7"/>
      <c r="S4" s="7"/>
      <c r="U4" t="s">
        <v>124</v>
      </c>
      <c r="V4" s="7"/>
      <c r="W4" s="7"/>
      <c r="Y4" t="s">
        <v>125</v>
      </c>
      <c r="Z4" s="7"/>
      <c r="AA4" s="7"/>
      <c r="AD4" s="54" t="s">
        <v>14</v>
      </c>
      <c r="AE4" s="54" t="s">
        <v>15</v>
      </c>
      <c r="AF4" s="52" t="s">
        <v>76</v>
      </c>
      <c r="AG4" s="53" t="s">
        <v>11</v>
      </c>
    </row>
    <row r="5" spans="1:34">
      <c r="A5" s="48">
        <v>0</v>
      </c>
      <c r="B5" s="17" t="s">
        <v>6</v>
      </c>
      <c r="C5" s="48">
        <f>A6-1</f>
        <v>550999</v>
      </c>
      <c r="D5" s="8">
        <v>1</v>
      </c>
      <c r="E5" s="8">
        <v>0</v>
      </c>
      <c r="F5" s="48">
        <v>0</v>
      </c>
      <c r="G5" s="17" t="str">
        <f>IF($A$18&gt;=A5,IF($A$18&lt;A6,"✓","-"),"-")</f>
        <v>✓</v>
      </c>
      <c r="I5" s="1" t="s">
        <v>27</v>
      </c>
      <c r="J5" s="40">
        <f>IF(L5="✓",0,"-")</f>
        <v>0</v>
      </c>
      <c r="K5" s="40">
        <f>IFERROR(ROUNDDOWN(J5,0),"-")</f>
        <v>0</v>
      </c>
      <c r="L5" t="str">
        <f>IF($A$18&gt;=A5,IF($A$18&lt;A6,"✓",""),"")</f>
        <v>✓</v>
      </c>
      <c r="M5" t="b">
        <f>K5=J5</f>
        <v>1</v>
      </c>
      <c r="N5" s="227" t="s">
        <v>100</v>
      </c>
      <c r="O5" s="228"/>
      <c r="P5" s="229"/>
      <c r="Q5" s="47" t="s">
        <v>10</v>
      </c>
      <c r="R5" s="42" t="s">
        <v>101</v>
      </c>
      <c r="S5" s="42" t="s">
        <v>30</v>
      </c>
      <c r="T5" s="55"/>
      <c r="U5" s="47" t="s">
        <v>10</v>
      </c>
      <c r="V5" s="42" t="s">
        <v>101</v>
      </c>
      <c r="W5" s="42" t="s">
        <v>30</v>
      </c>
      <c r="X5" s="55"/>
      <c r="Y5" s="47" t="s">
        <v>10</v>
      </c>
      <c r="Z5" s="42" t="s">
        <v>101</v>
      </c>
      <c r="AA5" s="42" t="s">
        <v>30</v>
      </c>
      <c r="AD5" s="15">
        <f>IF(K18&lt;100001,K18,100000)</f>
        <v>0</v>
      </c>
      <c r="AE5" s="15">
        <f>IF(S23&lt;100001,S23,100000)</f>
        <v>0</v>
      </c>
      <c r="AF5" s="50">
        <v>-100000</v>
      </c>
      <c r="AG5" s="48">
        <f>MAX(IF(OR(AD5=0,AE5=0),0,AD5+AE5+AF5),0)</f>
        <v>0</v>
      </c>
    </row>
    <row r="6" spans="1:34">
      <c r="A6" s="48">
        <v>551000</v>
      </c>
      <c r="B6" s="17" t="s">
        <v>17</v>
      </c>
      <c r="C6" s="48">
        <f>A7-1</f>
        <v>1618999</v>
      </c>
      <c r="D6" s="8">
        <v>1</v>
      </c>
      <c r="E6" s="8">
        <v>1</v>
      </c>
      <c r="F6" s="48">
        <v>-550000</v>
      </c>
      <c r="G6" s="17" t="str">
        <f t="shared" ref="G6:G14" si="0">IF($A$18&gt;=A6,IF($A$18&lt;A7,"✓","-"),"-")</f>
        <v>-</v>
      </c>
      <c r="I6" s="1" t="s">
        <v>20</v>
      </c>
      <c r="J6" s="40" t="str">
        <f>IF(L6="✓",$A$18-550000,"-")</f>
        <v>-</v>
      </c>
      <c r="K6" s="40" t="str">
        <f t="shared" ref="K6:K15" si="1">IFERROR(ROUNDDOWN(J6,0),"-")</f>
        <v>-</v>
      </c>
      <c r="L6" t="str">
        <f>IF($A$18&gt;=A6,IF($A$18&lt;A7,"✓",""),"")</f>
        <v/>
      </c>
      <c r="M6" t="b">
        <f t="shared" ref="M6:M13" si="2">K6=J6</f>
        <v>1</v>
      </c>
      <c r="N6" s="56">
        <v>0</v>
      </c>
      <c r="O6" s="57" t="s">
        <v>17</v>
      </c>
      <c r="P6" s="56">
        <f>N7-1</f>
        <v>3299999</v>
      </c>
      <c r="Q6" s="58">
        <v>1</v>
      </c>
      <c r="R6" s="56">
        <v>-1100000</v>
      </c>
      <c r="S6" s="56" t="str">
        <f>IF(T6="✓",IF($N$23*Q6+R6&gt;0,$N$23*Q6+R6,0),"-")</f>
        <v>-</v>
      </c>
      <c r="T6" s="59" t="str">
        <f>IF($N$21&gt;=65,IF($N$25&lt;=10000000,IF(AND($N$23&gt;=$N6,$N$23&lt;$N7),"✓","-"),"-"),"-")</f>
        <v>-</v>
      </c>
      <c r="U6" s="60">
        <v>1</v>
      </c>
      <c r="V6" s="56">
        <f>R6+100000</f>
        <v>-1000000</v>
      </c>
      <c r="W6" s="56" t="str">
        <f>IF(X6="✓",IF($N$23*U6+V6&gt;0,$N$23*U6+V6,0),"-")</f>
        <v>-</v>
      </c>
      <c r="X6" s="59" t="str">
        <f>IF($N$21&gt;=65,IF(AND($N$25&gt;10000000,$N$25&lt;=20000000),IF(AND($N$23&gt;=$N6,$N$23&lt;$N7),"✓","-"),"-"),"-")</f>
        <v>-</v>
      </c>
      <c r="Y6" s="60">
        <v>1</v>
      </c>
      <c r="Z6" s="56">
        <f>V6+100000</f>
        <v>-900000</v>
      </c>
      <c r="AA6" s="56" t="str">
        <f>IF(AB6="✓",IF($N$23*Y6+Z6&gt;0,$N$23*Y6+Z6,0),"-")</f>
        <v>-</v>
      </c>
      <c r="AB6" t="str">
        <f>IF($N$21&gt;=65,IF($N$25&gt;20000000,IF(AND($N$23&gt;=$N6,$N$23&lt;$N7),"✓","-"),"-"),"-")</f>
        <v>-</v>
      </c>
    </row>
    <row r="7" spans="1:34">
      <c r="A7" s="48">
        <v>1619000</v>
      </c>
      <c r="B7" s="17" t="s">
        <v>17</v>
      </c>
      <c r="C7" s="48">
        <f t="shared" ref="C7:C14" si="3">A8-1</f>
        <v>1619999</v>
      </c>
      <c r="D7" s="8">
        <v>1</v>
      </c>
      <c r="E7" s="8">
        <v>0</v>
      </c>
      <c r="F7" s="48">
        <v>1069000</v>
      </c>
      <c r="G7" s="17" t="str">
        <f t="shared" si="0"/>
        <v>-</v>
      </c>
      <c r="I7" s="1" t="s">
        <v>21</v>
      </c>
      <c r="J7" s="40" t="str">
        <f>IF(L7="✓",1069000,"-")</f>
        <v>-</v>
      </c>
      <c r="K7" s="40" t="str">
        <f t="shared" si="1"/>
        <v>-</v>
      </c>
      <c r="L7" t="str">
        <f>IF($A$18&gt;=A7,IF($A$18&lt;A8,"✓",""),"")</f>
        <v/>
      </c>
      <c r="M7" t="b">
        <f t="shared" si="2"/>
        <v>1</v>
      </c>
      <c r="N7" s="56">
        <v>3300000</v>
      </c>
      <c r="O7" s="57" t="s">
        <v>17</v>
      </c>
      <c r="P7" s="56">
        <f t="shared" ref="P7:P9" si="4">N8-1</f>
        <v>4099999</v>
      </c>
      <c r="Q7" s="58">
        <v>0.75</v>
      </c>
      <c r="R7" s="56">
        <v>-275000</v>
      </c>
      <c r="S7" s="56" t="str">
        <f>IF(T7="✓",$N$23*Q7+R7,"-")</f>
        <v>-</v>
      </c>
      <c r="T7" s="59" t="str">
        <f t="shared" ref="T7:T9" si="5">IF($N$21&gt;=65,IF($N$25&lt;=10000000,IF(AND($N$23&gt;=$N7,$N$23&lt;$N8),"✓","-"),"-"),"-")</f>
        <v>-</v>
      </c>
      <c r="U7" s="60">
        <v>0.75</v>
      </c>
      <c r="V7" s="56">
        <f t="shared" ref="V7:V10" si="6">R7+100000</f>
        <v>-175000</v>
      </c>
      <c r="W7" s="56" t="str">
        <f>IF(X7="✓",$N$23*U7+V7,"-")</f>
        <v>-</v>
      </c>
      <c r="X7" s="59" t="str">
        <f t="shared" ref="X7:X9" si="7">IF($N$21&gt;=65,IF(AND($N$25&gt;10000000,$N$25&lt;=20000000),IF(AND($N$23&gt;=$N7,$N$23&lt;$N8),"✓","-"),"-"),"-")</f>
        <v>-</v>
      </c>
      <c r="Y7" s="60">
        <v>0.75</v>
      </c>
      <c r="Z7" s="56">
        <f t="shared" ref="Z7:Z10" si="8">V7+100000</f>
        <v>-75000</v>
      </c>
      <c r="AA7" s="56" t="str">
        <f>IF(AB7="✓",$N$23*Y7+Z7,"-")</f>
        <v>-</v>
      </c>
      <c r="AB7" t="str">
        <f t="shared" ref="AB7:AB9" si="9">IF($N$21&gt;=65,IF($N$25&gt;20000000,IF(AND($N$23&gt;=$N7,$N$23&lt;$N8),"✓","-"),"-"),"-")</f>
        <v>-</v>
      </c>
      <c r="AD7" s="7" t="s">
        <v>12</v>
      </c>
      <c r="AG7" s="2">
        <f>総表!I10</f>
        <v>0</v>
      </c>
      <c r="AH7" t="s">
        <v>75</v>
      </c>
    </row>
    <row r="8" spans="1:34">
      <c r="A8" s="48">
        <v>1620000</v>
      </c>
      <c r="B8" s="17" t="s">
        <v>17</v>
      </c>
      <c r="C8" s="48">
        <f t="shared" si="3"/>
        <v>1621999</v>
      </c>
      <c r="D8" s="8">
        <v>1</v>
      </c>
      <c r="E8" s="8">
        <v>0</v>
      </c>
      <c r="F8" s="48">
        <v>1070000</v>
      </c>
      <c r="G8" s="17" t="str">
        <f t="shared" si="0"/>
        <v>-</v>
      </c>
      <c r="I8" s="1" t="s">
        <v>22</v>
      </c>
      <c r="J8" s="40" t="str">
        <f>IF(L8="✓",1070000,"-")</f>
        <v>-</v>
      </c>
      <c r="K8" s="40" t="str">
        <f t="shared" si="1"/>
        <v>-</v>
      </c>
      <c r="L8" t="str">
        <f t="shared" ref="L8:L12" si="10">IF($A$18&gt;=A8,IF($A$18&lt;A9,"✓",""),"")</f>
        <v/>
      </c>
      <c r="M8" t="b">
        <f t="shared" si="2"/>
        <v>1</v>
      </c>
      <c r="N8" s="56">
        <v>4100000</v>
      </c>
      <c r="O8" s="57" t="s">
        <v>17</v>
      </c>
      <c r="P8" s="56">
        <f t="shared" si="4"/>
        <v>7699999</v>
      </c>
      <c r="Q8" s="58">
        <v>0.85</v>
      </c>
      <c r="R8" s="56">
        <v>-685000</v>
      </c>
      <c r="S8" s="56" t="str">
        <f t="shared" ref="S8:S10" si="11">IF(T8="✓",$N$23*Q8+R8,"-")</f>
        <v>-</v>
      </c>
      <c r="T8" s="59" t="str">
        <f t="shared" si="5"/>
        <v>-</v>
      </c>
      <c r="U8" s="60">
        <v>0.85</v>
      </c>
      <c r="V8" s="56">
        <f t="shared" si="6"/>
        <v>-585000</v>
      </c>
      <c r="W8" s="56" t="str">
        <f t="shared" ref="W8:W10" si="12">IF(X8="✓",$N$23*U8+V8,"-")</f>
        <v>-</v>
      </c>
      <c r="X8" s="59" t="str">
        <f t="shared" si="7"/>
        <v>-</v>
      </c>
      <c r="Y8" s="60">
        <v>0.85</v>
      </c>
      <c r="Z8" s="56">
        <f t="shared" si="8"/>
        <v>-485000</v>
      </c>
      <c r="AA8" s="56" t="str">
        <f t="shared" ref="AA8:AA10" si="13">IF(AB8="✓",$N$23*Y8+Z8,"-")</f>
        <v>-</v>
      </c>
      <c r="AB8" t="str">
        <f t="shared" si="9"/>
        <v>-</v>
      </c>
      <c r="AD8" s="51" t="s">
        <v>71</v>
      </c>
      <c r="AE8" s="52" t="s">
        <v>73</v>
      </c>
      <c r="AF8" s="51" t="s">
        <v>72</v>
      </c>
      <c r="AG8" s="53" t="s">
        <v>11</v>
      </c>
    </row>
    <row r="9" spans="1:34">
      <c r="A9" s="48">
        <v>1622000</v>
      </c>
      <c r="B9" s="17" t="s">
        <v>17</v>
      </c>
      <c r="C9" s="48">
        <f t="shared" si="3"/>
        <v>1623999</v>
      </c>
      <c r="D9" s="8">
        <v>1</v>
      </c>
      <c r="E9" s="8">
        <v>0</v>
      </c>
      <c r="F9" s="48">
        <v>1072000</v>
      </c>
      <c r="G9" s="17" t="str">
        <f t="shared" si="0"/>
        <v>-</v>
      </c>
      <c r="I9" s="1" t="s">
        <v>23</v>
      </c>
      <c r="J9" s="40" t="str">
        <f>IF(L9="✓",1072000,"-")</f>
        <v>-</v>
      </c>
      <c r="K9" s="40" t="str">
        <f t="shared" si="1"/>
        <v>-</v>
      </c>
      <c r="L9" t="str">
        <f t="shared" si="10"/>
        <v/>
      </c>
      <c r="M9" t="b">
        <f t="shared" si="2"/>
        <v>1</v>
      </c>
      <c r="N9" s="56">
        <v>7700000</v>
      </c>
      <c r="O9" s="57" t="s">
        <v>17</v>
      </c>
      <c r="P9" s="56">
        <f t="shared" si="4"/>
        <v>9999999</v>
      </c>
      <c r="Q9" s="58">
        <v>0.95</v>
      </c>
      <c r="R9" s="56">
        <v>-1455000</v>
      </c>
      <c r="S9" s="56" t="str">
        <f t="shared" si="11"/>
        <v>-</v>
      </c>
      <c r="T9" s="59" t="str">
        <f t="shared" si="5"/>
        <v>-</v>
      </c>
      <c r="U9" s="60">
        <v>0.95</v>
      </c>
      <c r="V9" s="56">
        <f t="shared" si="6"/>
        <v>-1355000</v>
      </c>
      <c r="W9" s="56" t="str">
        <f t="shared" si="12"/>
        <v>-</v>
      </c>
      <c r="X9" s="59" t="str">
        <f t="shared" si="7"/>
        <v>-</v>
      </c>
      <c r="Y9" s="60">
        <v>0.95</v>
      </c>
      <c r="Z9" s="56">
        <f t="shared" si="8"/>
        <v>-1255000</v>
      </c>
      <c r="AA9" s="56" t="str">
        <f t="shared" si="13"/>
        <v>-</v>
      </c>
      <c r="AB9" t="str">
        <f t="shared" si="9"/>
        <v>-</v>
      </c>
      <c r="AD9" s="15">
        <f>IF(A18&gt;10000000,10000000,IF(A18&gt;8500000,A18,0))</f>
        <v>0</v>
      </c>
      <c r="AE9" s="15">
        <v>-8500000</v>
      </c>
      <c r="AF9" s="1">
        <f>IF(SUM(AD9:AE9)&lt;0,0,0.1)</f>
        <v>0</v>
      </c>
      <c r="AG9" s="15">
        <f>ROUNDUP(IF(AG7="いいえ",0,IF(AG7=0,0,SUM(AD9:AE9)*AF9)),0)</f>
        <v>0</v>
      </c>
    </row>
    <row r="10" spans="1:34">
      <c r="A10" s="48">
        <v>1624000</v>
      </c>
      <c r="B10" s="17" t="s">
        <v>17</v>
      </c>
      <c r="C10" s="48">
        <f t="shared" si="3"/>
        <v>1627999</v>
      </c>
      <c r="D10" s="8">
        <v>1</v>
      </c>
      <c r="E10" s="8">
        <v>0</v>
      </c>
      <c r="F10" s="48">
        <v>1074000</v>
      </c>
      <c r="G10" s="17" t="str">
        <f t="shared" si="0"/>
        <v>-</v>
      </c>
      <c r="I10" s="1" t="s">
        <v>24</v>
      </c>
      <c r="J10" s="40" t="str">
        <f>IF(L10="✓",1074000,"-")</f>
        <v>-</v>
      </c>
      <c r="K10" s="40" t="str">
        <f t="shared" si="1"/>
        <v>-</v>
      </c>
      <c r="L10" t="str">
        <f t="shared" si="10"/>
        <v/>
      </c>
      <c r="M10" t="b">
        <f t="shared" si="2"/>
        <v>1</v>
      </c>
      <c r="N10" s="56">
        <v>10000000</v>
      </c>
      <c r="O10" s="57" t="s">
        <v>17</v>
      </c>
      <c r="P10" s="56"/>
      <c r="Q10" s="58">
        <v>1</v>
      </c>
      <c r="R10" s="56">
        <v>-1955000</v>
      </c>
      <c r="S10" s="56" t="str">
        <f t="shared" si="11"/>
        <v>-</v>
      </c>
      <c r="T10" s="59" t="str">
        <f>IF($N$21&gt;=65,IF($N$25&lt;=10000000,IF($N$23&gt;=$N10,"✓","-"),"-"),"-")</f>
        <v>-</v>
      </c>
      <c r="U10" s="60">
        <v>1</v>
      </c>
      <c r="V10" s="56">
        <f t="shared" si="6"/>
        <v>-1855000</v>
      </c>
      <c r="W10" s="56" t="str">
        <f t="shared" si="12"/>
        <v>-</v>
      </c>
      <c r="X10" s="59" t="str">
        <f>IF($N$21&gt;=65,IF(AND($N$25&gt;10000000,$N$25&lt;=20000000),IF($N$23&gt;=$N10,"✓","-"),"-"),"-")</f>
        <v>-</v>
      </c>
      <c r="Y10" s="60">
        <v>1</v>
      </c>
      <c r="Z10" s="56">
        <f t="shared" si="8"/>
        <v>-1755000</v>
      </c>
      <c r="AA10" s="56" t="str">
        <f t="shared" si="13"/>
        <v>-</v>
      </c>
      <c r="AB10" t="str">
        <f>IF($N$21&gt;=65,IF($N$25&gt;20000000,IF($N$23&gt;=$N10,"✓","-"),"-"),"-")</f>
        <v>-</v>
      </c>
      <c r="AD10" t="s">
        <v>116</v>
      </c>
    </row>
    <row r="11" spans="1:34">
      <c r="A11" s="48">
        <v>1628000</v>
      </c>
      <c r="B11" s="17" t="s">
        <v>17</v>
      </c>
      <c r="C11" s="48">
        <f t="shared" si="3"/>
        <v>1799999</v>
      </c>
      <c r="D11" s="8">
        <v>4</v>
      </c>
      <c r="E11" s="8">
        <v>2.4</v>
      </c>
      <c r="F11" s="48">
        <v>100000</v>
      </c>
      <c r="G11" s="17" t="str">
        <f t="shared" si="0"/>
        <v>-</v>
      </c>
      <c r="I11" s="1" t="s">
        <v>87</v>
      </c>
      <c r="J11" s="40" t="str">
        <f>IF(L11="✓",ROUNDDOWN($A$18/4,-3)*2.4+100000,"-")</f>
        <v>-</v>
      </c>
      <c r="K11" s="40" t="str">
        <f t="shared" si="1"/>
        <v>-</v>
      </c>
      <c r="L11" t="str">
        <f t="shared" si="10"/>
        <v/>
      </c>
      <c r="M11" t="b">
        <f t="shared" si="2"/>
        <v>1</v>
      </c>
      <c r="N11" s="7"/>
      <c r="O11" s="16"/>
      <c r="P11" s="7"/>
      <c r="R11" s="7"/>
      <c r="S11" s="7"/>
      <c r="V11" s="7"/>
      <c r="W11" s="7"/>
      <c r="Z11" s="7"/>
      <c r="AA11" s="7"/>
      <c r="AF11" s="41" t="s">
        <v>113</v>
      </c>
      <c r="AG11" s="15">
        <f>SUM(AG5,AG9)</f>
        <v>0</v>
      </c>
    </row>
    <row r="12" spans="1:34">
      <c r="A12" s="48">
        <v>1800000</v>
      </c>
      <c r="B12" s="17" t="s">
        <v>17</v>
      </c>
      <c r="C12" s="48">
        <f t="shared" si="3"/>
        <v>3599999</v>
      </c>
      <c r="D12" s="8">
        <v>4</v>
      </c>
      <c r="E12" s="8">
        <v>2.8</v>
      </c>
      <c r="F12" s="48">
        <v>-80000</v>
      </c>
      <c r="G12" s="17" t="str">
        <f t="shared" si="0"/>
        <v>-</v>
      </c>
      <c r="I12" s="1" t="s">
        <v>88</v>
      </c>
      <c r="J12" s="40" t="str">
        <f>IF(L12="✓",ROUNDDOWN($A$18/4,-3)*2.8-80000,"-")</f>
        <v>-</v>
      </c>
      <c r="K12" s="40" t="str">
        <f t="shared" si="1"/>
        <v>-</v>
      </c>
      <c r="L12" t="str">
        <f t="shared" si="10"/>
        <v/>
      </c>
      <c r="M12" t="b">
        <f t="shared" si="2"/>
        <v>1</v>
      </c>
      <c r="N12" s="7" t="s">
        <v>127</v>
      </c>
      <c r="O12" s="16"/>
      <c r="P12" s="7"/>
      <c r="R12" s="7"/>
      <c r="S12" s="7"/>
      <c r="U12" t="s">
        <v>123</v>
      </c>
      <c r="V12" s="7"/>
      <c r="W12" s="7"/>
      <c r="Y12" t="s">
        <v>125</v>
      </c>
      <c r="Z12" s="7"/>
      <c r="AA12" s="7"/>
    </row>
    <row r="13" spans="1:34">
      <c r="A13" s="48">
        <v>3600000</v>
      </c>
      <c r="B13" s="17" t="s">
        <v>17</v>
      </c>
      <c r="C13" s="48">
        <f t="shared" si="3"/>
        <v>6599999</v>
      </c>
      <c r="D13" s="8">
        <v>4</v>
      </c>
      <c r="E13" s="8">
        <v>3.2</v>
      </c>
      <c r="F13" s="48">
        <v>-440000</v>
      </c>
      <c r="G13" s="17" t="str">
        <f t="shared" si="0"/>
        <v>-</v>
      </c>
      <c r="I13" s="1" t="s">
        <v>89</v>
      </c>
      <c r="J13" s="40" t="str">
        <f>IF(L13="✓",ROUNDDOWN($A$18/4,-3)*3.2-440000,"-")</f>
        <v>-</v>
      </c>
      <c r="K13" s="40" t="str">
        <f t="shared" si="1"/>
        <v>-</v>
      </c>
      <c r="L13" t="str">
        <f>IF($A$18&gt;=A13,IF($A$18&lt;A14,"✓",""),"")</f>
        <v/>
      </c>
      <c r="M13" t="b">
        <f t="shared" si="2"/>
        <v>1</v>
      </c>
      <c r="N13" s="227" t="s">
        <v>100</v>
      </c>
      <c r="O13" s="228"/>
      <c r="P13" s="229"/>
      <c r="Q13" s="47" t="s">
        <v>10</v>
      </c>
      <c r="R13" s="42" t="s">
        <v>101</v>
      </c>
      <c r="S13" s="42" t="s">
        <v>30</v>
      </c>
      <c r="T13" s="55"/>
      <c r="U13" s="47" t="s">
        <v>10</v>
      </c>
      <c r="V13" s="42" t="s">
        <v>101</v>
      </c>
      <c r="W13" s="42" t="s">
        <v>30</v>
      </c>
      <c r="X13" s="55"/>
      <c r="Y13" s="47" t="s">
        <v>10</v>
      </c>
      <c r="Z13" s="42" t="s">
        <v>101</v>
      </c>
      <c r="AA13" s="42" t="s">
        <v>30</v>
      </c>
    </row>
    <row r="14" spans="1:34">
      <c r="A14" s="48">
        <v>6600000</v>
      </c>
      <c r="B14" s="17" t="s">
        <v>17</v>
      </c>
      <c r="C14" s="48">
        <f t="shared" si="3"/>
        <v>8499999</v>
      </c>
      <c r="D14" s="8">
        <v>1</v>
      </c>
      <c r="E14" s="8">
        <v>0.9</v>
      </c>
      <c r="F14" s="48">
        <v>-1100000</v>
      </c>
      <c r="G14" s="17" t="str">
        <f t="shared" si="0"/>
        <v>-</v>
      </c>
      <c r="I14" s="1" t="s">
        <v>26</v>
      </c>
      <c r="J14" s="40" t="str">
        <f>IF(L14="✓",$A$18*0.9-1100000,"-")</f>
        <v>-</v>
      </c>
      <c r="K14" s="40" t="str">
        <f t="shared" si="1"/>
        <v>-</v>
      </c>
      <c r="L14" t="str">
        <f>IF($A$18&gt;=A14,IF($A$18&lt;A15,"✓",""),"")</f>
        <v/>
      </c>
      <c r="M14" t="b">
        <f>K14=J14</f>
        <v>1</v>
      </c>
      <c r="N14" s="56">
        <v>0</v>
      </c>
      <c r="O14" s="57" t="s">
        <v>17</v>
      </c>
      <c r="P14" s="56">
        <f t="shared" ref="P14:P17" si="14">N15-1</f>
        <v>1299999</v>
      </c>
      <c r="Q14" s="58">
        <v>1</v>
      </c>
      <c r="R14" s="56">
        <v>-600000</v>
      </c>
      <c r="S14" s="56">
        <f>IF(T14="✓",IF($N$23*Q14+R14&gt;0,$N$23*Q14+R14,0),"-")</f>
        <v>0</v>
      </c>
      <c r="T14" s="59" t="str">
        <f>IF($N$21&lt;65,IF($N$25&lt;=10000000,IF(AND($N$23&gt;=$N14,$N$23&lt;$N15),"✓","-"),"-"),"-")</f>
        <v>✓</v>
      </c>
      <c r="U14" s="60">
        <v>1</v>
      </c>
      <c r="V14" s="56">
        <f t="shared" ref="V14:V18" si="15">R14+100000</f>
        <v>-500000</v>
      </c>
      <c r="W14" s="56" t="str">
        <f>IF(X14="✓",IF($N$23*U14+V14&gt;0,$N$23*U14+V14,0),"-")</f>
        <v>-</v>
      </c>
      <c r="X14" s="59" t="str">
        <f>IF($N$21&lt;65,IF(AND($N$25&gt;10000000,$N$25&lt;=20000000),IF(AND($N$23&gt;=$N14,$N$23&lt;$N15),"✓","-"),"-"),"-")</f>
        <v>-</v>
      </c>
      <c r="Y14" s="60">
        <v>1</v>
      </c>
      <c r="Z14" s="56">
        <f t="shared" ref="Z14:Z18" si="16">V14+100000</f>
        <v>-400000</v>
      </c>
      <c r="AA14" s="56" t="str">
        <f>IF(AB14="✓",IF($N$23*Y14+Z14&gt;0,$N$23*Y14+Z14,0),"-")</f>
        <v>-</v>
      </c>
      <c r="AB14" t="str">
        <f>IF($N$21&lt;65,IF($N$25&gt;20000000,IF(AND($N$23&gt;=$N14,$N$23&lt;$N15),"✓","-"),"-"),"-")</f>
        <v>-</v>
      </c>
      <c r="AC14" t="s">
        <v>102</v>
      </c>
    </row>
    <row r="15" spans="1:34">
      <c r="A15" s="48">
        <v>8500000</v>
      </c>
      <c r="B15" s="17" t="s">
        <v>17</v>
      </c>
      <c r="C15" s="48"/>
      <c r="D15" s="8">
        <v>1</v>
      </c>
      <c r="E15" s="8">
        <v>1</v>
      </c>
      <c r="F15" s="48">
        <v>-1950000</v>
      </c>
      <c r="G15" s="17" t="str">
        <f>IF($A$18&gt;=A15,"✓","-")</f>
        <v>-</v>
      </c>
      <c r="I15" s="1" t="s">
        <v>25</v>
      </c>
      <c r="J15" s="40" t="str">
        <f>IF(L15="✓",$A$18-1950000,"-")</f>
        <v>-</v>
      </c>
      <c r="K15" s="40" t="str">
        <f t="shared" si="1"/>
        <v>-</v>
      </c>
      <c r="L15" t="str">
        <f>IF($A$18&gt;=$A$15,"✓","")</f>
        <v/>
      </c>
      <c r="M15" t="b">
        <f t="shared" ref="M15" si="17">K15=J15</f>
        <v>1</v>
      </c>
      <c r="N15" s="56">
        <v>1300000</v>
      </c>
      <c r="O15" s="57" t="s">
        <v>17</v>
      </c>
      <c r="P15" s="56">
        <f t="shared" si="14"/>
        <v>4099999</v>
      </c>
      <c r="Q15" s="58">
        <v>0.75</v>
      </c>
      <c r="R15" s="56">
        <v>-275000</v>
      </c>
      <c r="S15" s="56" t="str">
        <f t="shared" ref="S15:S18" si="18">IF(T15="✓",$N$23*Q15+R15,"-")</f>
        <v>-</v>
      </c>
      <c r="T15" s="59" t="str">
        <f t="shared" ref="T15:T17" si="19">IF($N$21&lt;65,IF($N$25&lt;=10000000,IF(AND($N$23&gt;=$N15,$N$23&lt;$N16),"✓","-"),"-"),"-")</f>
        <v>-</v>
      </c>
      <c r="U15" s="60">
        <v>0.75</v>
      </c>
      <c r="V15" s="56">
        <f t="shared" si="15"/>
        <v>-175000</v>
      </c>
      <c r="W15" s="56" t="str">
        <f>IF(X15="✓",$N$23*U15+V15,"-")</f>
        <v>-</v>
      </c>
      <c r="X15" s="59" t="str">
        <f t="shared" ref="X15:X17" si="20">IF($N$21&lt;65,IF(AND($N$25&gt;10000000,$N$25&lt;=20000000),IF(AND($N$23&gt;=$N15,$N$23&lt;$N16),"✓","-"),"-"),"-")</f>
        <v>-</v>
      </c>
      <c r="Y15" s="60">
        <v>0.75</v>
      </c>
      <c r="Z15" s="56">
        <f t="shared" si="16"/>
        <v>-75000</v>
      </c>
      <c r="AA15" s="56" t="str">
        <f>IF(AB15="✓",$N$23*Y15+Z15,"-")</f>
        <v>-</v>
      </c>
      <c r="AB15" t="str">
        <f>IF($N$21&lt;65,IF($N$25&gt;20000000,IF(AND($N$23&gt;=$N15,$N$23&lt;$N16),"✓","-"),"-"),"-")</f>
        <v>-</v>
      </c>
      <c r="AD15" s="43" t="s">
        <v>91</v>
      </c>
      <c r="AE15" s="14">
        <f>G18</f>
        <v>0</v>
      </c>
      <c r="AF15" s="14"/>
      <c r="AG15" s="14"/>
    </row>
    <row r="16" spans="1:34">
      <c r="J16" s="14"/>
      <c r="K16" s="14"/>
      <c r="N16" s="56">
        <v>4100000</v>
      </c>
      <c r="O16" s="57" t="s">
        <v>17</v>
      </c>
      <c r="P16" s="56">
        <f t="shared" si="14"/>
        <v>7699999</v>
      </c>
      <c r="Q16" s="58">
        <v>0.85</v>
      </c>
      <c r="R16" s="56">
        <v>-685000</v>
      </c>
      <c r="S16" s="56" t="str">
        <f t="shared" si="18"/>
        <v>-</v>
      </c>
      <c r="T16" s="59" t="str">
        <f t="shared" si="19"/>
        <v>-</v>
      </c>
      <c r="U16" s="60">
        <v>0.85</v>
      </c>
      <c r="V16" s="56">
        <f t="shared" si="15"/>
        <v>-585000</v>
      </c>
      <c r="W16" s="56" t="str">
        <f t="shared" ref="W16:W18" si="21">IF(X16="✓",$N$23*U16+V16,"-")</f>
        <v>-</v>
      </c>
      <c r="X16" s="59" t="str">
        <f t="shared" si="20"/>
        <v>-</v>
      </c>
      <c r="Y16" s="60">
        <v>0.85</v>
      </c>
      <c r="Z16" s="56">
        <f t="shared" si="16"/>
        <v>-485000</v>
      </c>
      <c r="AA16" s="56" t="str">
        <f t="shared" ref="AA16:AA18" si="22">IF(AB16="✓",$N$23*Y16+Z16,"-")</f>
        <v>-</v>
      </c>
      <c r="AB16" t="str">
        <f>IF($N$21&lt;65,IF($N$25&gt;20000000,IF(AND($N$23&gt;=$N16,$N$23&lt;$N17),"✓","-"),"-"),"-")</f>
        <v>-</v>
      </c>
      <c r="AD16" s="41" t="s">
        <v>105</v>
      </c>
      <c r="AE16" s="14">
        <f>-AG9</f>
        <v>0</v>
      </c>
      <c r="AF16" t="s">
        <v>103</v>
      </c>
    </row>
    <row r="17" spans="1:33">
      <c r="A17" s="47" t="s">
        <v>98</v>
      </c>
      <c r="B17" s="2"/>
      <c r="C17" s="2"/>
      <c r="D17" s="47" t="s">
        <v>93</v>
      </c>
      <c r="E17" s="47" t="s">
        <v>94</v>
      </c>
      <c r="F17" s="47" t="s">
        <v>97</v>
      </c>
      <c r="G17" s="47" t="s">
        <v>99</v>
      </c>
      <c r="J17" s="39" t="s">
        <v>74</v>
      </c>
      <c r="K17" s="1" t="s">
        <v>18</v>
      </c>
      <c r="L17" s="1" t="s">
        <v>2</v>
      </c>
      <c r="N17" s="56">
        <v>7700000</v>
      </c>
      <c r="O17" s="57" t="s">
        <v>17</v>
      </c>
      <c r="P17" s="56">
        <f t="shared" si="14"/>
        <v>9999999</v>
      </c>
      <c r="Q17" s="58">
        <v>0.95</v>
      </c>
      <c r="R17" s="56">
        <v>-1455000</v>
      </c>
      <c r="S17" s="56" t="str">
        <f>IF(T17="✓",$N$23*Q17+R17,"-")</f>
        <v>-</v>
      </c>
      <c r="T17" s="59" t="str">
        <f t="shared" si="19"/>
        <v>-</v>
      </c>
      <c r="U17" s="60">
        <v>0.95</v>
      </c>
      <c r="V17" s="56">
        <f t="shared" si="15"/>
        <v>-1355000</v>
      </c>
      <c r="W17" s="56" t="str">
        <f t="shared" si="21"/>
        <v>-</v>
      </c>
      <c r="X17" s="59" t="str">
        <f t="shared" si="20"/>
        <v>-</v>
      </c>
      <c r="Y17" s="60">
        <v>0.95</v>
      </c>
      <c r="Z17" s="56">
        <f t="shared" si="16"/>
        <v>-1255000</v>
      </c>
      <c r="AA17" s="56" t="str">
        <f t="shared" si="22"/>
        <v>-</v>
      </c>
      <c r="AB17" t="str">
        <f>IF($N$21&lt;65,IF($N$25&gt;20000000,IF(AND($N$23&gt;=$N17,$N$23&lt;$N18),"✓","-"),"-"),"-")</f>
        <v>-</v>
      </c>
      <c r="AC17" s="44"/>
      <c r="AD17" s="45" t="s">
        <v>104</v>
      </c>
      <c r="AE17" s="46">
        <f>総表!D28</f>
        <v>0</v>
      </c>
      <c r="AG17" s="14"/>
    </row>
    <row r="18" spans="1:33">
      <c r="A18" s="15">
        <f>総表!D18</f>
        <v>0</v>
      </c>
      <c r="D18" s="1">
        <f>VLOOKUP($A$18,$A$5:$K$15,4)</f>
        <v>1</v>
      </c>
      <c r="E18" s="1">
        <f>VLOOKUP($A$18,$A$5:$K$15,5)</f>
        <v>0</v>
      </c>
      <c r="F18" s="15">
        <f>VLOOKUP($A$18,$A$5:$K$15,6)</f>
        <v>0</v>
      </c>
      <c r="G18" s="15">
        <f>ROUNDDOWN((IF(D18=4,ROUNDDOWN(A18/4,-3),A18)*E18)+F18,0)</f>
        <v>0</v>
      </c>
      <c r="J18" s="14"/>
      <c r="K18" s="15">
        <f>VLOOKUP($A$18,$A$5:$K$15,11)</f>
        <v>0</v>
      </c>
      <c r="L18" s="15">
        <f>A18-K18</f>
        <v>0</v>
      </c>
      <c r="N18" s="56">
        <v>10000000</v>
      </c>
      <c r="O18" s="57" t="s">
        <v>17</v>
      </c>
      <c r="P18" s="56"/>
      <c r="Q18" s="58">
        <v>1</v>
      </c>
      <c r="R18" s="56">
        <v>-1955000</v>
      </c>
      <c r="S18" s="56" t="str">
        <f t="shared" si="18"/>
        <v>-</v>
      </c>
      <c r="T18" s="59" t="str">
        <f>IF($N$21&lt;65,IF($N$25&lt;=10000000,IF($N$23&gt;=$N18,"✓","-"),"-"),"-")</f>
        <v>-</v>
      </c>
      <c r="U18" s="60">
        <v>1</v>
      </c>
      <c r="V18" s="56">
        <f t="shared" si="15"/>
        <v>-1855000</v>
      </c>
      <c r="W18" s="56" t="str">
        <f t="shared" si="21"/>
        <v>-</v>
      </c>
      <c r="X18" s="59" t="str">
        <f>IF($N$21&lt;65,IF(AND($N$25&gt;10000000,$N$25&lt;=20000000),IF($N$23&gt;=$N18,"✓","-"),"-"),"-")</f>
        <v>-</v>
      </c>
      <c r="Y18" s="60">
        <v>1</v>
      </c>
      <c r="Z18" s="56">
        <f t="shared" si="16"/>
        <v>-1755000</v>
      </c>
      <c r="AA18" s="56" t="str">
        <f t="shared" si="22"/>
        <v>-</v>
      </c>
      <c r="AB18" t="str">
        <f>IF($N$21&gt;=65,IF($N$25&gt;20000000,IF($N$23&gt;=$N18,"✓","-"),"-"),"-")</f>
        <v>-</v>
      </c>
      <c r="AE18" s="15">
        <f>SUM(AE15:AE17)</f>
        <v>0</v>
      </c>
    </row>
    <row r="19" spans="1:33">
      <c r="G19" s="2" t="s">
        <v>92</v>
      </c>
      <c r="J19" s="14"/>
      <c r="K19" s="14" t="b">
        <f>G18=K18</f>
        <v>1</v>
      </c>
    </row>
    <row r="20" spans="1:33">
      <c r="G20" s="41" t="s">
        <v>91</v>
      </c>
      <c r="J20" s="14"/>
      <c r="K20" s="14"/>
      <c r="N20" s="47" t="s">
        <v>28</v>
      </c>
      <c r="O20" s="55"/>
      <c r="P20" s="59"/>
      <c r="Q20" s="59"/>
      <c r="R20" s="59"/>
      <c r="S20" s="59"/>
      <c r="T20" s="59"/>
    </row>
    <row r="21" spans="1:33">
      <c r="J21" s="14"/>
      <c r="K21" s="14"/>
      <c r="N21" s="60">
        <f>別紙2!I5</f>
        <v>0</v>
      </c>
      <c r="O21" s="55"/>
      <c r="P21" s="59"/>
      <c r="Q21" s="59"/>
      <c r="R21" s="59"/>
      <c r="S21" s="59"/>
      <c r="T21" s="59"/>
    </row>
    <row r="22" spans="1:33">
      <c r="F22" s="41" t="s">
        <v>96</v>
      </c>
      <c r="G22" s="15">
        <f>A18-G18</f>
        <v>0</v>
      </c>
      <c r="J22" s="14"/>
      <c r="K22" s="14"/>
      <c r="N22" s="47" t="s">
        <v>29</v>
      </c>
      <c r="O22" s="55"/>
      <c r="P22" s="59"/>
      <c r="Q22" s="47" t="s">
        <v>10</v>
      </c>
      <c r="R22" s="42" t="s">
        <v>101</v>
      </c>
      <c r="S22" s="42" t="s">
        <v>30</v>
      </c>
      <c r="T22" s="47" t="s">
        <v>31</v>
      </c>
      <c r="AC22" t="s">
        <v>119</v>
      </c>
      <c r="AE22" s="65"/>
    </row>
    <row r="23" spans="1:33">
      <c r="J23" s="14"/>
      <c r="K23" s="14"/>
      <c r="N23" s="61">
        <f>総表!D23</f>
        <v>0</v>
      </c>
      <c r="O23" s="55"/>
      <c r="P23" s="59"/>
      <c r="Q23" s="60">
        <f>VLOOKUP($N$23,IF($N$21&gt;=65,$N$6:$AA$10,$N$14:$AA$18),IF($N$25&lt;=10000000,4,IF($N$25&lt;=20000000,8,12)))</f>
        <v>1</v>
      </c>
      <c r="R23" s="61">
        <f>VLOOKUP($N$23,IF($N$21&gt;=65,$N$6:$AA$10,$N$14:$AA$18),IF($N$25&lt;=10000000,5,IF($N$25&lt;=20000000,9,13)))</f>
        <v>-600000</v>
      </c>
      <c r="S23" s="61">
        <f>ROUNDDOWN(IF($N$23*$Q$23+$R$23&gt;0,$N$23*$Q$23+$R$23,0),0)</f>
        <v>0</v>
      </c>
      <c r="T23" s="61">
        <f>N23-S23</f>
        <v>0</v>
      </c>
      <c r="AC23" t="s">
        <v>120</v>
      </c>
    </row>
    <row r="24" spans="1:33">
      <c r="M24" s="41"/>
      <c r="N24" s="47" t="s">
        <v>106</v>
      </c>
      <c r="O24" s="64" t="s">
        <v>114</v>
      </c>
      <c r="P24" s="59"/>
      <c r="Q24" s="55"/>
      <c r="R24" s="62"/>
      <c r="S24" s="62"/>
      <c r="T24" s="55"/>
      <c r="AC24" t="s">
        <v>121</v>
      </c>
    </row>
    <row r="25" spans="1:33">
      <c r="N25" s="61">
        <f>AE18</f>
        <v>0</v>
      </c>
      <c r="O25" s="55"/>
      <c r="P25" s="59"/>
      <c r="Q25" s="59"/>
      <c r="R25" s="63"/>
      <c r="S25" s="63"/>
      <c r="T25" s="63"/>
      <c r="AC25" t="s">
        <v>122</v>
      </c>
    </row>
    <row r="29" spans="1:33">
      <c r="A29" s="118">
        <v>44774</v>
      </c>
      <c r="R29" s="14"/>
      <c r="S29" s="14"/>
      <c r="T29" s="14"/>
    </row>
    <row r="30" spans="1:33">
      <c r="A30" s="118">
        <v>44805</v>
      </c>
    </row>
    <row r="31" spans="1:33">
      <c r="A31" s="118">
        <v>44835</v>
      </c>
    </row>
    <row r="32" spans="1:33">
      <c r="A32" s="118">
        <v>44866</v>
      </c>
    </row>
    <row r="33" spans="1:1">
      <c r="A33" s="118">
        <v>44896</v>
      </c>
    </row>
    <row r="34" spans="1:1">
      <c r="A34" s="118">
        <v>44927</v>
      </c>
    </row>
    <row r="35" spans="1:1">
      <c r="A35" s="118">
        <v>44958</v>
      </c>
    </row>
    <row r="36" spans="1:1">
      <c r="A36" s="118">
        <v>44986</v>
      </c>
    </row>
    <row r="37" spans="1:1">
      <c r="A37" s="118">
        <v>45017</v>
      </c>
    </row>
    <row r="38" spans="1:1">
      <c r="A38" s="118">
        <v>45047</v>
      </c>
    </row>
    <row r="39" spans="1:1">
      <c r="A39" s="118">
        <v>45078</v>
      </c>
    </row>
    <row r="40" spans="1:1">
      <c r="A40" s="118">
        <v>45108</v>
      </c>
    </row>
    <row r="41" spans="1:1">
      <c r="A41" s="118">
        <v>45139</v>
      </c>
    </row>
    <row r="42" spans="1:1">
      <c r="A42" s="118">
        <v>45170</v>
      </c>
    </row>
    <row r="43" spans="1:1">
      <c r="A43" s="118">
        <v>45200</v>
      </c>
    </row>
    <row r="44" spans="1:1">
      <c r="A44" s="118">
        <v>45231</v>
      </c>
    </row>
    <row r="45" spans="1:1">
      <c r="A45" s="118">
        <v>45261</v>
      </c>
    </row>
    <row r="46" spans="1:1">
      <c r="A46" s="118">
        <v>45292</v>
      </c>
    </row>
    <row r="47" spans="1:1">
      <c r="A47" s="118">
        <v>45323</v>
      </c>
    </row>
    <row r="48" spans="1:1">
      <c r="A48" s="118">
        <v>45352</v>
      </c>
    </row>
    <row r="49" spans="1:1">
      <c r="A49" s="118">
        <v>45383</v>
      </c>
    </row>
    <row r="50" spans="1:1">
      <c r="A50" s="118">
        <v>45413</v>
      </c>
    </row>
    <row r="51" spans="1:1">
      <c r="A51" s="118">
        <v>45444</v>
      </c>
    </row>
    <row r="52" spans="1:1">
      <c r="A52" s="118">
        <v>45474</v>
      </c>
    </row>
    <row r="53" spans="1:1">
      <c r="A53" s="118">
        <v>45505</v>
      </c>
    </row>
    <row r="54" spans="1:1">
      <c r="A54" s="118">
        <v>45536</v>
      </c>
    </row>
    <row r="55" spans="1:1">
      <c r="A55" s="118">
        <v>45566</v>
      </c>
    </row>
    <row r="56" spans="1:1">
      <c r="A56" s="118">
        <v>45597</v>
      </c>
    </row>
    <row r="57" spans="1:1">
      <c r="A57" s="118">
        <v>45627</v>
      </c>
    </row>
    <row r="58" spans="1:1">
      <c r="A58" s="118">
        <v>45658</v>
      </c>
    </row>
    <row r="59" spans="1:1">
      <c r="A59" s="118">
        <v>45689</v>
      </c>
    </row>
    <row r="60" spans="1:1">
      <c r="A60" s="118">
        <v>45717</v>
      </c>
    </row>
    <row r="61" spans="1:1">
      <c r="A61" s="118">
        <v>45748</v>
      </c>
    </row>
    <row r="62" spans="1:1">
      <c r="A62" s="118">
        <v>45778</v>
      </c>
    </row>
    <row r="63" spans="1:1">
      <c r="A63" s="118">
        <v>45809</v>
      </c>
    </row>
    <row r="64" spans="1:1">
      <c r="A64" s="118">
        <v>45839</v>
      </c>
    </row>
    <row r="65" spans="1:1">
      <c r="A65" s="118">
        <v>45870</v>
      </c>
    </row>
    <row r="66" spans="1:1">
      <c r="A66" s="118">
        <v>45901</v>
      </c>
    </row>
    <row r="67" spans="1:1">
      <c r="A67" s="118">
        <v>45931</v>
      </c>
    </row>
    <row r="68" spans="1:1">
      <c r="A68" s="118">
        <v>45962</v>
      </c>
    </row>
    <row r="69" spans="1:1">
      <c r="A69" s="118">
        <v>45992</v>
      </c>
    </row>
    <row r="70" spans="1:1">
      <c r="A70" s="118">
        <v>46023</v>
      </c>
    </row>
    <row r="71" spans="1:1">
      <c r="A71" s="118">
        <v>46054</v>
      </c>
    </row>
    <row r="72" spans="1:1">
      <c r="A72" s="118">
        <v>46082</v>
      </c>
    </row>
    <row r="73" spans="1:1">
      <c r="A73" s="118">
        <v>46113</v>
      </c>
    </row>
    <row r="74" spans="1:1">
      <c r="A74" s="118">
        <v>46143</v>
      </c>
    </row>
    <row r="75" spans="1:1">
      <c r="A75" s="118">
        <v>46174</v>
      </c>
    </row>
    <row r="76" spans="1:1">
      <c r="A76" s="118">
        <v>46204</v>
      </c>
    </row>
    <row r="77" spans="1:1">
      <c r="A77" s="118">
        <v>46235</v>
      </c>
    </row>
    <row r="78" spans="1:1">
      <c r="A78" s="118">
        <v>46266</v>
      </c>
    </row>
    <row r="79" spans="1:1">
      <c r="A79" s="118">
        <v>46296</v>
      </c>
    </row>
    <row r="80" spans="1:1">
      <c r="A80" s="118">
        <v>46327</v>
      </c>
    </row>
    <row r="81" spans="1:1">
      <c r="A81" s="118">
        <v>46357</v>
      </c>
    </row>
    <row r="82" spans="1:1">
      <c r="A82" s="118">
        <v>46388</v>
      </c>
    </row>
    <row r="83" spans="1:1">
      <c r="A83" s="118">
        <v>46419</v>
      </c>
    </row>
    <row r="84" spans="1:1">
      <c r="A84" s="118">
        <v>46447</v>
      </c>
    </row>
    <row r="85" spans="1:1">
      <c r="A85" s="118">
        <v>46478</v>
      </c>
    </row>
    <row r="86" spans="1:1">
      <c r="A86" s="118">
        <v>46508</v>
      </c>
    </row>
    <row r="87" spans="1:1">
      <c r="A87" s="118">
        <v>46539</v>
      </c>
    </row>
    <row r="88" spans="1:1">
      <c r="A88" s="118">
        <v>46569</v>
      </c>
    </row>
    <row r="89" spans="1:1">
      <c r="A89" s="118">
        <v>46600</v>
      </c>
    </row>
    <row r="90" spans="1:1">
      <c r="A90" s="118">
        <v>46631</v>
      </c>
    </row>
    <row r="91" spans="1:1">
      <c r="A91" s="118">
        <v>46661</v>
      </c>
    </row>
    <row r="92" spans="1:1">
      <c r="A92" s="118">
        <v>46692</v>
      </c>
    </row>
    <row r="93" spans="1:1">
      <c r="A93" s="118">
        <v>46722</v>
      </c>
    </row>
    <row r="94" spans="1:1">
      <c r="A94" s="118">
        <v>46753</v>
      </c>
    </row>
    <row r="95" spans="1:1">
      <c r="A95" s="118">
        <v>46784</v>
      </c>
    </row>
    <row r="96" spans="1:1">
      <c r="A96" s="118">
        <v>46813</v>
      </c>
    </row>
    <row r="97" spans="1:1">
      <c r="A97" s="118">
        <v>46844</v>
      </c>
    </row>
    <row r="98" spans="1:1">
      <c r="A98" s="118">
        <v>46874</v>
      </c>
    </row>
    <row r="99" spans="1:1">
      <c r="A99" s="118">
        <v>46905</v>
      </c>
    </row>
    <row r="100" spans="1:1">
      <c r="A100" s="118">
        <v>46935</v>
      </c>
    </row>
    <row r="101" spans="1:1">
      <c r="A101" s="118">
        <v>46966</v>
      </c>
    </row>
    <row r="102" spans="1:1">
      <c r="A102" s="118">
        <v>46997</v>
      </c>
    </row>
    <row r="103" spans="1:1">
      <c r="A103" s="118">
        <v>47027</v>
      </c>
    </row>
    <row r="104" spans="1:1">
      <c r="A104" s="118">
        <v>47058</v>
      </c>
    </row>
    <row r="105" spans="1:1">
      <c r="A105" s="118">
        <v>47088</v>
      </c>
    </row>
    <row r="106" spans="1:1">
      <c r="A106" s="118">
        <v>47119</v>
      </c>
    </row>
    <row r="107" spans="1:1">
      <c r="A107" s="118">
        <v>47150</v>
      </c>
    </row>
    <row r="108" spans="1:1">
      <c r="A108" s="118">
        <v>47178</v>
      </c>
    </row>
    <row r="109" spans="1:1">
      <c r="A109" s="118">
        <v>47209</v>
      </c>
    </row>
    <row r="110" spans="1:1">
      <c r="A110" s="118">
        <v>47239</v>
      </c>
    </row>
    <row r="111" spans="1:1">
      <c r="A111" s="118">
        <v>47270</v>
      </c>
    </row>
    <row r="112" spans="1:1">
      <c r="A112" s="118">
        <v>47300</v>
      </c>
    </row>
    <row r="113" spans="1:1">
      <c r="A113" s="118">
        <v>47331</v>
      </c>
    </row>
    <row r="114" spans="1:1">
      <c r="A114" s="118">
        <v>47362</v>
      </c>
    </row>
    <row r="115" spans="1:1">
      <c r="A115" s="118">
        <v>47392</v>
      </c>
    </row>
    <row r="116" spans="1:1">
      <c r="A116" s="118">
        <v>47423</v>
      </c>
    </row>
    <row r="117" spans="1:1">
      <c r="A117" s="118">
        <v>47453</v>
      </c>
    </row>
    <row r="118" spans="1:1">
      <c r="A118" s="118">
        <v>47484</v>
      </c>
    </row>
    <row r="119" spans="1:1">
      <c r="A119" s="118">
        <v>47515</v>
      </c>
    </row>
    <row r="120" spans="1:1">
      <c r="A120" s="118">
        <v>47543</v>
      </c>
    </row>
  </sheetData>
  <sheetProtection algorithmName="SHA-512" hashValue="L14TB8KWNYk/tUgNcnDHqMNklysZrJ+coBmmrTovLJLk+YSKX3Y7d11gB3jgfZML05CBODSuDoGQeXgpendyNQ==" saltValue="ePgKQ2WMHKs3150MZIr38Q==" spinCount="100000" sheet="1" objects="1" scenarios="1"/>
  <mergeCells count="3">
    <mergeCell ref="A4:C4"/>
    <mergeCell ref="N5:P5"/>
    <mergeCell ref="N13:P13"/>
  </mergeCells>
  <phoneticPr fontId="1"/>
  <pageMargins left="0.7" right="0.7" top="0.75" bottom="0.75" header="0.3" footer="0.3"/>
  <pageSetup paperSize="9" scale="77" orientation="landscape" r:id="rId1"/>
  <headerFooter>
    <oddHeader>&amp;L【機密性○（取扱制限）】</oddHeader>
  </headerFooter>
  <colBreaks count="1" manualBreakCount="1">
    <brk id="13"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総表</vt:lpstr>
      <vt:lpstr>別紙1</vt:lpstr>
      <vt:lpstr>別紙2</vt:lpstr>
      <vt:lpstr>別紙3</vt:lpstr>
      <vt:lpstr>別紙3-1</vt:lpstr>
      <vt:lpstr>別紙3-2</vt:lpstr>
      <vt:lpstr>（削除不可）給与・年金所得計算</vt:lpstr>
      <vt:lpstr>'（削除不可）給与・年金所得計算'!Print_Area</vt:lpstr>
      <vt:lpstr>総表!Print_Area</vt:lpstr>
      <vt:lpstr>別紙1!Print_Area</vt:lpstr>
      <vt:lpstr>別紙2!Print_Area</vt:lpstr>
      <vt:lpstr>別紙3!Print_Area</vt:lpstr>
      <vt:lpstr>'別紙3-1'!Print_Area</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伊藤　安海</cp:lastModifiedBy>
  <cp:lastPrinted>2023-03-30T04:25:24Z</cp:lastPrinted>
  <dcterms:created xsi:type="dcterms:W3CDTF">2022-09-14T02:00:15Z</dcterms:created>
  <dcterms:modified xsi:type="dcterms:W3CDTF">2025-07-29T06:37:02Z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2022-09-14T02:00:30Z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7ef594b0-3243-4f57-bf4a-20f39a76f450</vt:lpwstr>
  </property>
  <property fmtid="{D5CDD505-2E9C-101B-9397-08002B2CF9AE}" pid="8" name="MSIP_Label_d899a617-f30e-4fb8-b81c-fb6d0b94ac5b_ContentBits">
    <vt:lpwstr>0</vt:lpwstr>
  </property>
</Properties>
</file>