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82.2\都民生活部\03_地域活動推進課\05_地域活動支援担当\01_地域の底力発展事業助成\2025年度\30_ガイドライン・事例集\01_ガイドライン\★2025検討に当たって調査\3 様式見直し\1 作業\1 底力\"/>
    </mc:Choice>
  </mc:AlternateContent>
  <xr:revisionPtr revIDLastSave="0" documentId="13_ncr:1_{BCE8EBA7-0DC3-4D85-9D3D-B8EF94129D58}" xr6:coauthVersionLast="47" xr6:coauthVersionMax="47" xr10:uidLastSave="{00000000-0000-0000-0000-000000000000}"/>
  <bookViews>
    <workbookView xWindow="28680" yWindow="-120" windowWidth="29040" windowHeight="15720" xr2:uid="{00000000-000D-0000-FFFF-FFFF00000000}"/>
  </bookViews>
  <sheets>
    <sheet name="必ずお読みください" sheetId="21" r:id="rId1"/>
    <sheet name="入力フォーム" sheetId="5" r:id="rId2"/>
    <sheet name="第１号様式" sheetId="1" r:id="rId3"/>
    <sheet name="チェックシート" sheetId="20" r:id="rId4"/>
    <sheet name="第１号様式別紙" sheetId="2" r:id="rId5"/>
    <sheet name="第２号様式" sheetId="3" r:id="rId6"/>
    <sheet name="収支予算書" sheetId="6" r:id="rId7"/>
    <sheet name="概算払請求入力フォーム" sheetId="19" r:id="rId8"/>
    <sheet name="第６号様式" sheetId="17" r:id="rId9"/>
    <sheet name="変更申請入力フォーム" sheetId="14" r:id="rId10"/>
    <sheet name="第７号様式" sheetId="13" r:id="rId11"/>
    <sheet name="積算明細書" sheetId="15" r:id="rId12"/>
    <sheet name="実績入力フォーム" sheetId="12" r:id="rId13"/>
    <sheet name="第10号様式" sheetId="9" r:id="rId14"/>
    <sheet name="決算書" sheetId="7" r:id="rId15"/>
    <sheet name="実績報告内容確認書C区分" sheetId="10" r:id="rId16"/>
    <sheet name="実績報告内容確認書D区分" sheetId="11" r:id="rId17"/>
    <sheet name="第12号様式" sheetId="18" r:id="rId18"/>
  </sheets>
  <definedNames>
    <definedName name="_xlnm._FilterDatabase" localSheetId="5" hidden="1">第２号様式!$A$5:$O$32</definedName>
    <definedName name="「地域防災力の強化」かつ「多文化共生社会づくり」につながる活動を行いますか" localSheetId="7">概算払請求入力フォーム!#REF!</definedName>
    <definedName name="「地域防災力の強化」かつ「多文化共生社会づくり」につながる活動を行いますか" localSheetId="12">実績入力フォーム!#REF!</definedName>
    <definedName name="「地域防災力の強化」かつ「多文化共生社会づくり」につながる活動を行いますか" localSheetId="9">変更申請入力フォーム!#REF!</definedName>
    <definedName name="「地域防災力の強化」かつ「多文化共生社会づくり」につながる活動を行いますか">入力フォーム!$I$37:$I$37</definedName>
    <definedName name="OLE_LINK15" localSheetId="13">第10号様式!$L$1</definedName>
    <definedName name="OLE_LINK15" localSheetId="17">第12号様式!$I$2</definedName>
    <definedName name="OLE_LINK15" localSheetId="2">第１号様式!$J$1</definedName>
    <definedName name="OLE_LINK15" localSheetId="8">第６号様式!$I$2</definedName>
    <definedName name="OLE_LINK15" localSheetId="10">第７号様式!$F$2</definedName>
    <definedName name="_xlnm.Print_Area" localSheetId="14">決算書!$A$2:$L$72</definedName>
    <definedName name="_xlnm.Print_Area" localSheetId="15">実績報告内容確認書C区分!$A$1:$M$37</definedName>
    <definedName name="_xlnm.Print_Area" localSheetId="6">収支予算書!$A$1:$J$73</definedName>
    <definedName name="_xlnm.Print_Area" localSheetId="11">積算明細書!$A$2:$O$55</definedName>
    <definedName name="_xlnm.Print_Area" localSheetId="13">第10号様式!$A$1:$L$90</definedName>
    <definedName name="_xlnm.Print_Area" localSheetId="17">第12号様式!$A$1:$I$42</definedName>
    <definedName name="_xlnm.Print_Area" localSheetId="2">第１号様式!$A$1:$J$52</definedName>
    <definedName name="_xlnm.Print_Area" localSheetId="4">第１号様式別紙!$A$1:$L$31</definedName>
    <definedName name="_xlnm.Print_Area" localSheetId="5">第２号様式!$A$1:$N$32</definedName>
    <definedName name="_xlnm.Print_Area" localSheetId="8">第６号様式!$A$1:$I$42</definedName>
    <definedName name="_xlnm.Print_Area" localSheetId="10">第７号様式!$A$1:$F$46</definedName>
    <definedName name="今回申請する区分は何ですか" localSheetId="7">概算払請求入力フォーム!#REF!</definedName>
    <definedName name="今回申請する区分は何ですか" localSheetId="12">実績入力フォーム!#REF!</definedName>
    <definedName name="今回申請する区分は何ですか" localSheetId="9">変更申請入力フォーム!#REF!</definedName>
    <definedName name="今回申請する区分は何ですか">入力フォーム!$E$37:$E$37</definedName>
    <definedName name="今回申請する区分は初めてですか" localSheetId="7">概算払請求入力フォーム!#REF!</definedName>
    <definedName name="今回申請する区分は初めてですか" localSheetId="12">実績入力フォーム!#REF!</definedName>
    <definedName name="今回申請する区分は初めてですか" localSheetId="9">変更申請入力フォーム!#REF!</definedName>
    <definedName name="今回申請する区分は初めてですか">入力フォーム!$H$37:$H$38</definedName>
    <definedName name="助成率" localSheetId="7">概算払請求入力フォーム!#REF!</definedName>
    <definedName name="助成率" localSheetId="12">実績入力フォーム!#REF!</definedName>
    <definedName name="助成率" localSheetId="9">変更申請入力フォーム!#REF!</definedName>
    <definedName name="助成率">入力フォーム!$J$37:$J$37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12" l="1"/>
  <c r="A45" i="5"/>
  <c r="B18" i="19"/>
  <c r="C250" i="14"/>
  <c r="C246" i="14"/>
  <c r="C242" i="14"/>
  <c r="C229" i="14"/>
  <c r="C225" i="14"/>
  <c r="C221" i="14"/>
  <c r="C208" i="14"/>
  <c r="C204" i="14"/>
  <c r="C200" i="14"/>
  <c r="C196" i="14"/>
  <c r="C187" i="14"/>
  <c r="C183" i="14"/>
  <c r="C179" i="14"/>
  <c r="C175" i="14"/>
  <c r="C166" i="14"/>
  <c r="C162" i="14"/>
  <c r="C158" i="14"/>
  <c r="C154" i="14"/>
  <c r="C145" i="14"/>
  <c r="C141" i="14"/>
  <c r="C137" i="14"/>
  <c r="C133" i="14"/>
  <c r="C129" i="14"/>
  <c r="C125" i="14"/>
  <c r="C121" i="14"/>
  <c r="C34" i="14"/>
  <c r="C30" i="14"/>
  <c r="C301" i="5"/>
  <c r="C298" i="5"/>
  <c r="C295" i="5"/>
  <c r="C292" i="5"/>
  <c r="C289" i="5"/>
  <c r="C286" i="5"/>
  <c r="C283" i="5"/>
  <c r="C280" i="5"/>
  <c r="C277" i="5"/>
  <c r="C274" i="5"/>
  <c r="C271" i="5"/>
  <c r="C268" i="5"/>
  <c r="C265" i="5"/>
  <c r="C262" i="5"/>
  <c r="C259" i="5"/>
  <c r="C256" i="5"/>
  <c r="C253" i="5"/>
  <c r="C230" i="5"/>
  <c r="A212" i="5" l="1"/>
  <c r="A211" i="5"/>
  <c r="A210" i="5"/>
  <c r="A209" i="5"/>
  <c r="A20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I16" i="1" l="1"/>
  <c r="A331" i="5"/>
  <c r="B267" i="12"/>
  <c r="C266" i="12" s="1"/>
  <c r="B291" i="12"/>
  <c r="A24" i="18"/>
  <c r="A24" i="13"/>
  <c r="A24" i="17"/>
  <c r="B16" i="19"/>
  <c r="H19" i="17" s="1"/>
  <c r="B15" i="19"/>
  <c r="D19" i="17" s="1"/>
  <c r="B14" i="19"/>
  <c r="B13" i="19"/>
  <c r="B12" i="19"/>
  <c r="D18" i="17" s="1"/>
  <c r="B11" i="19"/>
  <c r="D17" i="17" s="1"/>
  <c r="B10" i="19"/>
  <c r="H16" i="17" s="1"/>
  <c r="B9" i="19"/>
  <c r="D16" i="17" s="1"/>
  <c r="B8" i="19"/>
  <c r="H12" i="17" s="1"/>
  <c r="B7" i="19"/>
  <c r="B6" i="19"/>
  <c r="H11" i="17" s="1"/>
  <c r="B5" i="19"/>
  <c r="D13" i="17" s="1"/>
  <c r="B4" i="19"/>
  <c r="D12" i="17" s="1"/>
  <c r="B3" i="19"/>
  <c r="B2" i="19"/>
  <c r="D11" i="17" s="1"/>
  <c r="H17" i="17" l="1"/>
  <c r="A74" i="12"/>
  <c r="C74" i="12" s="1"/>
  <c r="A291" i="12"/>
  <c r="A287" i="12"/>
  <c r="A285" i="12"/>
  <c r="A283" i="12"/>
  <c r="A281" i="12"/>
  <c r="A273" i="12"/>
  <c r="A270" i="12"/>
  <c r="A267" i="12"/>
  <c r="A264" i="12"/>
  <c r="A256" i="12"/>
  <c r="A253" i="12"/>
  <c r="A250" i="12"/>
  <c r="A247" i="12"/>
  <c r="A239" i="12"/>
  <c r="A236" i="12"/>
  <c r="A233" i="12"/>
  <c r="A230" i="12"/>
  <c r="A222" i="12"/>
  <c r="A219" i="12"/>
  <c r="A216" i="12"/>
  <c r="A213" i="12"/>
  <c r="A205" i="12"/>
  <c r="A202" i="12"/>
  <c r="A199" i="12"/>
  <c r="A196" i="12"/>
  <c r="A188" i="12"/>
  <c r="A185" i="12"/>
  <c r="A182" i="12"/>
  <c r="A179" i="12"/>
  <c r="A176" i="12"/>
  <c r="A173" i="12"/>
  <c r="A170" i="12"/>
  <c r="A167" i="12"/>
  <c r="A164" i="12"/>
  <c r="A161" i="12"/>
  <c r="A158" i="12"/>
  <c r="A155" i="12"/>
  <c r="A152" i="12"/>
  <c r="A149" i="12"/>
  <c r="A146" i="12"/>
  <c r="A143" i="12"/>
  <c r="A140" i="12"/>
  <c r="A119" i="12"/>
  <c r="A116" i="12"/>
  <c r="A113" i="12"/>
  <c r="A110" i="12"/>
  <c r="A102" i="12"/>
  <c r="A99" i="12"/>
  <c r="A96" i="12"/>
  <c r="A93" i="12"/>
  <c r="A274" i="14"/>
  <c r="A270" i="14"/>
  <c r="A267" i="14"/>
  <c r="A264" i="14"/>
  <c r="A261" i="14"/>
  <c r="A252" i="14"/>
  <c r="A248" i="14"/>
  <c r="A244" i="14"/>
  <c r="A240" i="14"/>
  <c r="A231" i="14"/>
  <c r="A227" i="14"/>
  <c r="A223" i="14"/>
  <c r="A219" i="14"/>
  <c r="A210" i="14"/>
  <c r="A206" i="14"/>
  <c r="A202" i="14"/>
  <c r="A198" i="14"/>
  <c r="A189" i="14"/>
  <c r="A185" i="14"/>
  <c r="A181" i="14"/>
  <c r="A177" i="14"/>
  <c r="A168" i="14"/>
  <c r="A164" i="14"/>
  <c r="A160" i="14"/>
  <c r="A156" i="14"/>
  <c r="A147" i="14"/>
  <c r="A143" i="14"/>
  <c r="A139" i="14"/>
  <c r="A135" i="14"/>
  <c r="A131" i="14"/>
  <c r="A127" i="14"/>
  <c r="A123" i="14"/>
  <c r="A119" i="14"/>
  <c r="A115" i="14"/>
  <c r="A111" i="14"/>
  <c r="A107" i="14"/>
  <c r="A103" i="14"/>
  <c r="A99" i="14"/>
  <c r="A95" i="14"/>
  <c r="A91" i="14"/>
  <c r="A87" i="14"/>
  <c r="A83" i="14"/>
  <c r="A61" i="14"/>
  <c r="A57" i="14"/>
  <c r="A53" i="14"/>
  <c r="A49" i="14"/>
  <c r="A40" i="14"/>
  <c r="A36" i="14"/>
  <c r="A32" i="14"/>
  <c r="A28" i="14"/>
  <c r="A269" i="14"/>
  <c r="A266" i="14"/>
  <c r="A263" i="14"/>
  <c r="A260" i="14"/>
  <c r="A251" i="14"/>
  <c r="A247" i="14"/>
  <c r="A243" i="14"/>
  <c r="A239" i="14"/>
  <c r="A230" i="14"/>
  <c r="A226" i="14"/>
  <c r="A222" i="14"/>
  <c r="A218" i="14"/>
  <c r="A209" i="14"/>
  <c r="A205" i="14"/>
  <c r="A201" i="14"/>
  <c r="A197" i="14"/>
  <c r="A188" i="14"/>
  <c r="A184" i="14"/>
  <c r="A180" i="14"/>
  <c r="A176" i="14"/>
  <c r="A167" i="14"/>
  <c r="A163" i="14"/>
  <c r="A159" i="14"/>
  <c r="A155" i="14"/>
  <c r="A146" i="14"/>
  <c r="A142" i="14"/>
  <c r="A138" i="14"/>
  <c r="A134" i="14"/>
  <c r="A130" i="14"/>
  <c r="A126" i="14"/>
  <c r="A122" i="14"/>
  <c r="A118" i="14"/>
  <c r="A114" i="14"/>
  <c r="A110" i="14"/>
  <c r="A106" i="14"/>
  <c r="A102" i="14"/>
  <c r="A98" i="14"/>
  <c r="A94" i="14"/>
  <c r="A90" i="14"/>
  <c r="A86" i="14"/>
  <c r="A82" i="14"/>
  <c r="A60" i="14"/>
  <c r="A56" i="14"/>
  <c r="A52" i="14"/>
  <c r="A48" i="14"/>
  <c r="A39" i="14"/>
  <c r="A35" i="14"/>
  <c r="A31" i="14"/>
  <c r="A27" i="14"/>
  <c r="A384" i="5" l="1"/>
  <c r="A79" i="5"/>
  <c r="A74" i="5"/>
  <c r="A69" i="5"/>
  <c r="A64" i="5"/>
  <c r="A59" i="5"/>
  <c r="A80" i="5"/>
  <c r="A75" i="5"/>
  <c r="A70" i="5"/>
  <c r="A65" i="5"/>
  <c r="A60" i="5"/>
  <c r="A381" i="5"/>
  <c r="A378" i="5"/>
  <c r="A375" i="5"/>
  <c r="A372" i="5"/>
  <c r="A368" i="5"/>
  <c r="A365" i="5"/>
  <c r="A362" i="5"/>
  <c r="A359" i="5"/>
  <c r="A355" i="5"/>
  <c r="A352" i="5"/>
  <c r="A349" i="5"/>
  <c r="A346" i="5"/>
  <c r="A342" i="5"/>
  <c r="A339" i="5"/>
  <c r="A336" i="5"/>
  <c r="A333" i="5"/>
  <c r="A329" i="5"/>
  <c r="A326" i="5"/>
  <c r="A323" i="5"/>
  <c r="A320" i="5"/>
  <c r="A316" i="5"/>
  <c r="A313" i="5"/>
  <c r="A310" i="5"/>
  <c r="A307" i="5"/>
  <c r="A303" i="5"/>
  <c r="A300" i="5"/>
  <c r="A297" i="5"/>
  <c r="A294" i="5"/>
  <c r="A291" i="5"/>
  <c r="A288" i="5"/>
  <c r="A285" i="5"/>
  <c r="A282" i="5"/>
  <c r="A279" i="5"/>
  <c r="A276" i="5"/>
  <c r="A273" i="5"/>
  <c r="A270" i="5"/>
  <c r="A267" i="5"/>
  <c r="A264" i="5"/>
  <c r="A261" i="5"/>
  <c r="A258" i="5"/>
  <c r="A255" i="5"/>
  <c r="A251" i="5"/>
  <c r="A248" i="5"/>
  <c r="A245" i="5"/>
  <c r="A242" i="5"/>
  <c r="A238" i="5"/>
  <c r="A235" i="5"/>
  <c r="A232" i="5"/>
  <c r="A229" i="5"/>
  <c r="A380" i="5"/>
  <c r="A377" i="5"/>
  <c r="A374" i="5"/>
  <c r="A371" i="5"/>
  <c r="A367" i="5"/>
  <c r="A364" i="5"/>
  <c r="A361" i="5"/>
  <c r="A358" i="5"/>
  <c r="A354" i="5"/>
  <c r="A351" i="5"/>
  <c r="A348" i="5"/>
  <c r="A345" i="5"/>
  <c r="A341" i="5"/>
  <c r="A338" i="5"/>
  <c r="A335" i="5"/>
  <c r="A332" i="5"/>
  <c r="A328" i="5"/>
  <c r="A325" i="5"/>
  <c r="A322" i="5"/>
  <c r="A319" i="5"/>
  <c r="A315" i="5"/>
  <c r="A312" i="5"/>
  <c r="A309" i="5"/>
  <c r="A306" i="5"/>
  <c r="A302" i="5"/>
  <c r="A299" i="5"/>
  <c r="A296" i="5"/>
  <c r="A293" i="5"/>
  <c r="A290" i="5"/>
  <c r="A287" i="5"/>
  <c r="A284" i="5"/>
  <c r="A281" i="5"/>
  <c r="A278" i="5"/>
  <c r="A275" i="5"/>
  <c r="A272" i="5"/>
  <c r="A269" i="5"/>
  <c r="A266" i="5"/>
  <c r="A263" i="5"/>
  <c r="A260" i="5"/>
  <c r="A257" i="5"/>
  <c r="A254" i="5"/>
  <c r="A250" i="5"/>
  <c r="A247" i="5"/>
  <c r="A244" i="5"/>
  <c r="A241" i="5"/>
  <c r="A237" i="5"/>
  <c r="A234" i="5"/>
  <c r="A231" i="5"/>
  <c r="A228" i="5"/>
  <c r="E51" i="1"/>
  <c r="E50" i="1"/>
  <c r="G29" i="3" l="1"/>
  <c r="C29" i="3"/>
  <c r="D36" i="5"/>
  <c r="B23" i="2" l="1"/>
  <c r="H14" i="10"/>
  <c r="B19" i="10"/>
  <c r="B31" i="11"/>
  <c r="H27" i="11"/>
  <c r="B27" i="11"/>
  <c r="H23" i="11"/>
  <c r="B23" i="11"/>
  <c r="H19" i="11"/>
  <c r="B19" i="11"/>
  <c r="H14" i="11"/>
  <c r="B31" i="10"/>
  <c r="H19" i="10"/>
  <c r="H27" i="10"/>
  <c r="B23" i="10"/>
  <c r="B27" i="10"/>
  <c r="H23" i="10"/>
  <c r="B385" i="5"/>
  <c r="A97" i="5"/>
  <c r="A81" i="5"/>
  <c r="A96" i="5"/>
  <c r="A94" i="5"/>
  <c r="A90" i="5"/>
  <c r="A82" i="5"/>
  <c r="A93" i="5"/>
  <c r="A89" i="5"/>
  <c r="A95" i="5"/>
  <c r="A92" i="5"/>
  <c r="A88" i="5"/>
  <c r="A50" i="5"/>
  <c r="A46" i="5"/>
  <c r="A87" i="5"/>
  <c r="A86" i="5"/>
  <c r="A83" i="5"/>
  <c r="A49" i="5"/>
  <c r="A47" i="5"/>
  <c r="A85" i="5"/>
  <c r="A84" i="5"/>
  <c r="A48" i="5"/>
  <c r="A91" i="5"/>
  <c r="A38" i="5"/>
  <c r="F35" i="1"/>
  <c r="F34" i="1"/>
  <c r="F36" i="5"/>
  <c r="E36" i="5"/>
  <c r="A86" i="12"/>
  <c r="A85" i="12"/>
  <c r="A84" i="12"/>
  <c r="A83" i="12"/>
  <c r="A82" i="12"/>
  <c r="A81" i="12"/>
  <c r="L30" i="2"/>
  <c r="K30" i="2"/>
  <c r="J30" i="2"/>
  <c r="I30" i="2"/>
  <c r="G30" i="2"/>
  <c r="F30" i="2"/>
  <c r="E30" i="2"/>
  <c r="L29" i="2"/>
  <c r="K29" i="2"/>
  <c r="J29" i="2"/>
  <c r="I29" i="2"/>
  <c r="G29" i="2"/>
  <c r="F29" i="2"/>
  <c r="E29" i="2"/>
  <c r="L28" i="2"/>
  <c r="K28" i="2"/>
  <c r="J28" i="2"/>
  <c r="I28" i="2"/>
  <c r="G28" i="2"/>
  <c r="F28" i="2"/>
  <c r="E28" i="2"/>
  <c r="L27" i="2"/>
  <c r="K27" i="2"/>
  <c r="J27" i="2"/>
  <c r="I27" i="2"/>
  <c r="G27" i="2"/>
  <c r="F27" i="2"/>
  <c r="E27" i="2"/>
  <c r="L26" i="2"/>
  <c r="K26" i="2"/>
  <c r="J26" i="2"/>
  <c r="I26" i="2"/>
  <c r="G26" i="2"/>
  <c r="F26" i="2"/>
  <c r="E26" i="2"/>
  <c r="L25" i="2"/>
  <c r="K25" i="2"/>
  <c r="J25" i="2"/>
  <c r="I25" i="2"/>
  <c r="G25" i="2"/>
  <c r="F25" i="2"/>
  <c r="E25" i="2"/>
  <c r="L24" i="2"/>
  <c r="K24" i="2"/>
  <c r="J24" i="2"/>
  <c r="I24" i="2"/>
  <c r="G24" i="2"/>
  <c r="F24" i="2"/>
  <c r="E24" i="2"/>
  <c r="L23" i="2"/>
  <c r="K23" i="2"/>
  <c r="J23" i="2"/>
  <c r="I23" i="2"/>
  <c r="G23" i="2"/>
  <c r="F23" i="2"/>
  <c r="E23" i="2"/>
  <c r="A80" i="12" l="1"/>
  <c r="A54" i="5"/>
  <c r="A55" i="5"/>
  <c r="A37" i="5"/>
  <c r="I38" i="1" s="1"/>
  <c r="I18" i="1"/>
  <c r="I15" i="1"/>
  <c r="I11" i="1"/>
  <c r="I10" i="1"/>
  <c r="B14" i="12" l="1"/>
  <c r="B13" i="12"/>
  <c r="B14" i="14"/>
  <c r="B13" i="14"/>
  <c r="E17" i="13" l="1"/>
  <c r="H17" i="18"/>
  <c r="I15" i="9"/>
  <c r="A290" i="12"/>
  <c r="A286" i="12"/>
  <c r="A284" i="12"/>
  <c r="A282" i="12"/>
  <c r="A280" i="12"/>
  <c r="A274" i="12"/>
  <c r="A272" i="12"/>
  <c r="B272" i="12"/>
  <c r="A271" i="12"/>
  <c r="A269" i="12"/>
  <c r="A268" i="12"/>
  <c r="A266" i="12"/>
  <c r="A265" i="12"/>
  <c r="A263" i="12"/>
  <c r="A257" i="12"/>
  <c r="A255" i="12"/>
  <c r="A254" i="12"/>
  <c r="A252" i="12"/>
  <c r="A251" i="12"/>
  <c r="A249" i="12"/>
  <c r="A248" i="12"/>
  <c r="A246" i="12"/>
  <c r="A240" i="12"/>
  <c r="A238" i="12"/>
  <c r="A237" i="12"/>
  <c r="A235" i="12"/>
  <c r="A234" i="12"/>
  <c r="A232" i="12"/>
  <c r="A231" i="12"/>
  <c r="A229" i="12"/>
  <c r="A223" i="12"/>
  <c r="A221" i="12"/>
  <c r="A220" i="12"/>
  <c r="A218" i="12"/>
  <c r="A217" i="12"/>
  <c r="A215" i="12"/>
  <c r="A214" i="12"/>
  <c r="A212" i="12"/>
  <c r="A206" i="12"/>
  <c r="A204" i="12"/>
  <c r="A203" i="12"/>
  <c r="A201" i="12"/>
  <c r="A200" i="12"/>
  <c r="A198" i="12"/>
  <c r="A197" i="12"/>
  <c r="A195" i="12"/>
  <c r="A189" i="12"/>
  <c r="A187" i="12"/>
  <c r="A186" i="12"/>
  <c r="A184" i="12"/>
  <c r="A183" i="12"/>
  <c r="A181" i="12"/>
  <c r="A180" i="12"/>
  <c r="A178" i="12"/>
  <c r="A177" i="12"/>
  <c r="A175" i="12"/>
  <c r="A174" i="12"/>
  <c r="A172" i="12"/>
  <c r="A171" i="12"/>
  <c r="A169" i="12"/>
  <c r="A168" i="12"/>
  <c r="A166" i="12"/>
  <c r="A165" i="12"/>
  <c r="A163" i="12"/>
  <c r="A162" i="12"/>
  <c r="A160" i="12"/>
  <c r="A159" i="12"/>
  <c r="A157" i="12"/>
  <c r="A156" i="12"/>
  <c r="A154" i="12"/>
  <c r="A153" i="12"/>
  <c r="A151" i="12"/>
  <c r="A150" i="12"/>
  <c r="A148" i="12"/>
  <c r="A147" i="12"/>
  <c r="A145" i="12"/>
  <c r="A144" i="12"/>
  <c r="A142" i="12"/>
  <c r="A141" i="12"/>
  <c r="A139" i="12"/>
  <c r="A103" i="12"/>
  <c r="A101" i="12"/>
  <c r="A100" i="12"/>
  <c r="A98" i="12"/>
  <c r="A97" i="12"/>
  <c r="A95" i="12"/>
  <c r="A94" i="12"/>
  <c r="A92" i="12"/>
  <c r="A120" i="12"/>
  <c r="A118" i="12"/>
  <c r="A117" i="12"/>
  <c r="A115" i="12"/>
  <c r="A114" i="12"/>
  <c r="A112" i="12"/>
  <c r="A111" i="12"/>
  <c r="A109" i="12"/>
  <c r="A268" i="14" l="1"/>
  <c r="A265" i="14"/>
  <c r="A262" i="14"/>
  <c r="A259" i="14"/>
  <c r="A253" i="14"/>
  <c r="A250" i="14"/>
  <c r="A249" i="14"/>
  <c r="A246" i="14"/>
  <c r="A245" i="14"/>
  <c r="A242" i="14"/>
  <c r="A241" i="14"/>
  <c r="A238" i="14"/>
  <c r="A232" i="14"/>
  <c r="A229" i="14"/>
  <c r="A228" i="14"/>
  <c r="A225" i="14"/>
  <c r="A224" i="14"/>
  <c r="A221" i="14"/>
  <c r="A220" i="14"/>
  <c r="A217" i="14"/>
  <c r="A211" i="14"/>
  <c r="A208" i="14"/>
  <c r="A207" i="14"/>
  <c r="A204" i="14"/>
  <c r="A203" i="14"/>
  <c r="A200" i="14"/>
  <c r="A199" i="14"/>
  <c r="A196" i="14"/>
  <c r="A190" i="14"/>
  <c r="A187" i="14"/>
  <c r="A186" i="14"/>
  <c r="A183" i="14"/>
  <c r="A182" i="14"/>
  <c r="A179" i="14"/>
  <c r="A178" i="14"/>
  <c r="A175" i="14"/>
  <c r="A169" i="14"/>
  <c r="A166" i="14"/>
  <c r="A165" i="14"/>
  <c r="A162" i="14"/>
  <c r="A161" i="14"/>
  <c r="A158" i="14"/>
  <c r="A157" i="14"/>
  <c r="A154" i="14"/>
  <c r="A41" i="14"/>
  <c r="A38" i="14"/>
  <c r="A37" i="14"/>
  <c r="A34" i="14"/>
  <c r="A33" i="14"/>
  <c r="A30" i="14"/>
  <c r="A29" i="14"/>
  <c r="A26" i="14"/>
  <c r="A62" i="14"/>
  <c r="A59" i="14"/>
  <c r="A58" i="14"/>
  <c r="A55" i="14"/>
  <c r="A54" i="14"/>
  <c r="A51" i="14"/>
  <c r="A50" i="14"/>
  <c r="A47" i="14"/>
  <c r="A148" i="14"/>
  <c r="A145" i="14"/>
  <c r="A144" i="14"/>
  <c r="A141" i="14"/>
  <c r="A140" i="14"/>
  <c r="A137" i="14"/>
  <c r="A136" i="14"/>
  <c r="A133" i="14"/>
  <c r="A132" i="14"/>
  <c r="A129" i="14"/>
  <c r="A128" i="14"/>
  <c r="A125" i="14"/>
  <c r="A124" i="14"/>
  <c r="A121" i="14"/>
  <c r="A120" i="14"/>
  <c r="A117" i="14"/>
  <c r="A116" i="14"/>
  <c r="A113" i="14"/>
  <c r="A112" i="14"/>
  <c r="A109" i="14"/>
  <c r="A108" i="14"/>
  <c r="A105" i="14"/>
  <c r="A104" i="14"/>
  <c r="A101" i="14"/>
  <c r="A100" i="14"/>
  <c r="A97" i="14"/>
  <c r="A96" i="14"/>
  <c r="A92" i="14"/>
  <c r="A88" i="14"/>
  <c r="A89" i="14"/>
  <c r="A93" i="14"/>
  <c r="A85" i="14"/>
  <c r="A84" i="14" l="1"/>
  <c r="A81" i="14"/>
  <c r="A22" i="9" l="1"/>
  <c r="B176" i="12"/>
  <c r="C175" i="12" s="1"/>
  <c r="A289" i="12"/>
  <c r="A279" i="12"/>
  <c r="A278" i="12"/>
  <c r="A277" i="12"/>
  <c r="A276" i="12"/>
  <c r="A262" i="12"/>
  <c r="A261" i="12"/>
  <c r="A260" i="12"/>
  <c r="A259" i="12"/>
  <c r="A245" i="12"/>
  <c r="A244" i="12"/>
  <c r="A243" i="12"/>
  <c r="A242" i="12"/>
  <c r="A228" i="12"/>
  <c r="A227" i="12"/>
  <c r="A226" i="12"/>
  <c r="A225" i="12"/>
  <c r="A211" i="12"/>
  <c r="A210" i="12"/>
  <c r="A209" i="12"/>
  <c r="A208" i="12"/>
  <c r="A194" i="12"/>
  <c r="A193" i="12"/>
  <c r="A192" i="12"/>
  <c r="A191" i="12"/>
  <c r="A138" i="12"/>
  <c r="A137" i="12"/>
  <c r="A136" i="12"/>
  <c r="A135" i="12"/>
  <c r="A134" i="12"/>
  <c r="A133" i="12"/>
  <c r="A132" i="12"/>
  <c r="A131" i="12"/>
  <c r="A130" i="12"/>
  <c r="A129" i="12"/>
  <c r="A128" i="12"/>
  <c r="A127" i="12"/>
  <c r="A126" i="12"/>
  <c r="A125" i="12"/>
  <c r="A124" i="12"/>
  <c r="A123" i="12"/>
  <c r="A122" i="12"/>
  <c r="A108" i="12"/>
  <c r="A107" i="12"/>
  <c r="A106" i="12"/>
  <c r="A105" i="12"/>
  <c r="A91" i="12"/>
  <c r="A90" i="12"/>
  <c r="A89" i="12"/>
  <c r="A88" i="12"/>
  <c r="B225" i="14"/>
  <c r="A273" i="14"/>
  <c r="A272" i="14"/>
  <c r="A258" i="14"/>
  <c r="A257" i="14"/>
  <c r="A256" i="14"/>
  <c r="A255" i="14"/>
  <c r="A237" i="14"/>
  <c r="A236" i="14"/>
  <c r="A235" i="14"/>
  <c r="A234" i="14"/>
  <c r="A216" i="14"/>
  <c r="A215" i="14"/>
  <c r="A214" i="14"/>
  <c r="A213" i="14"/>
  <c r="A195" i="14"/>
  <c r="A194" i="14"/>
  <c r="A193" i="14"/>
  <c r="A192" i="14"/>
  <c r="A174" i="14"/>
  <c r="A173" i="14"/>
  <c r="A172" i="14"/>
  <c r="A171" i="14"/>
  <c r="A153" i="14"/>
  <c r="A152" i="14"/>
  <c r="A151" i="14"/>
  <c r="A150" i="14"/>
  <c r="A80" i="14"/>
  <c r="A79" i="14"/>
  <c r="A78" i="14"/>
  <c r="A77" i="14"/>
  <c r="A76" i="14"/>
  <c r="A75" i="14"/>
  <c r="A74" i="14"/>
  <c r="A73" i="14"/>
  <c r="A72" i="14"/>
  <c r="A71" i="14"/>
  <c r="A70" i="14"/>
  <c r="A69" i="14"/>
  <c r="A68" i="14"/>
  <c r="A67" i="14"/>
  <c r="A66" i="14"/>
  <c r="A65" i="14"/>
  <c r="A64" i="14"/>
  <c r="A46" i="14"/>
  <c r="A45" i="14"/>
  <c r="A44" i="14"/>
  <c r="A43" i="14"/>
  <c r="A25" i="14"/>
  <c r="A24" i="14"/>
  <c r="A23" i="14"/>
  <c r="A22" i="14"/>
  <c r="B31" i="14"/>
  <c r="A383" i="5" l="1"/>
  <c r="A379" i="5"/>
  <c r="A376" i="5"/>
  <c r="A373" i="5"/>
  <c r="A370" i="5"/>
  <c r="A366" i="5"/>
  <c r="A363" i="5"/>
  <c r="A360" i="5"/>
  <c r="A357" i="5"/>
  <c r="A353" i="5"/>
  <c r="A350" i="5"/>
  <c r="A347" i="5"/>
  <c r="A344" i="5"/>
  <c r="A340" i="5"/>
  <c r="A337" i="5"/>
  <c r="A334" i="5"/>
  <c r="A327" i="5"/>
  <c r="A324" i="5"/>
  <c r="A321" i="5"/>
  <c r="A318" i="5"/>
  <c r="A314" i="5"/>
  <c r="A311" i="5"/>
  <c r="A308" i="5"/>
  <c r="A305" i="5"/>
  <c r="A301" i="5"/>
  <c r="A298" i="5"/>
  <c r="A295" i="5"/>
  <c r="A292" i="5"/>
  <c r="A289" i="5"/>
  <c r="A286" i="5"/>
  <c r="A283" i="5"/>
  <c r="A280" i="5"/>
  <c r="A277" i="5"/>
  <c r="A274" i="5"/>
  <c r="A271" i="5"/>
  <c r="A268" i="5"/>
  <c r="A265" i="5"/>
  <c r="A262" i="5"/>
  <c r="A259" i="5"/>
  <c r="A256" i="5"/>
  <c r="A253" i="5"/>
  <c r="A249" i="5"/>
  <c r="A246" i="5"/>
  <c r="A243" i="5"/>
  <c r="A240" i="5"/>
  <c r="A236" i="5"/>
  <c r="A233" i="5"/>
  <c r="A230" i="5"/>
  <c r="A227" i="5"/>
  <c r="A18" i="5" l="1"/>
  <c r="C198" i="5" l="1"/>
  <c r="C199" i="5"/>
  <c r="B25" i="3"/>
  <c r="B24" i="3"/>
  <c r="E64" i="9" l="1"/>
  <c r="E69" i="9"/>
  <c r="E18" i="1"/>
  <c r="E15" i="1"/>
  <c r="E17" i="1"/>
  <c r="E16" i="1"/>
  <c r="G48" i="9"/>
  <c r="G47" i="9"/>
  <c r="G52" i="9"/>
  <c r="K50" i="9"/>
  <c r="G50" i="9"/>
  <c r="G37" i="9"/>
  <c r="G74" i="9"/>
  <c r="G42" i="9"/>
  <c r="G39" i="9"/>
  <c r="G38" i="9"/>
  <c r="C78" i="9"/>
  <c r="C77" i="9"/>
  <c r="C75" i="9"/>
  <c r="C73" i="9"/>
  <c r="C72" i="9"/>
  <c r="C69" i="9"/>
  <c r="C68" i="9"/>
  <c r="C67" i="9"/>
  <c r="C66" i="9"/>
  <c r="C64" i="9"/>
  <c r="C63" i="9"/>
  <c r="C62" i="9"/>
  <c r="C60" i="9"/>
  <c r="C59" i="9"/>
  <c r="E45" i="1"/>
  <c r="E12" i="1" l="1"/>
  <c r="F33" i="1"/>
  <c r="F32" i="1"/>
  <c r="E11" i="1"/>
  <c r="E10" i="1"/>
  <c r="C197" i="5" l="1"/>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B129" i="14"/>
  <c r="B91" i="14"/>
  <c r="B32" i="14"/>
  <c r="B30" i="14"/>
  <c r="B34" i="14"/>
  <c r="B35" i="14"/>
  <c r="B36" i="14"/>
  <c r="B38" i="14"/>
  <c r="B39" i="14"/>
  <c r="C38" i="14" s="1"/>
  <c r="B40" i="14"/>
  <c r="B119" i="12" l="1"/>
  <c r="C118" i="12" s="1"/>
  <c r="B86" i="12"/>
  <c r="B85" i="12"/>
  <c r="B84" i="12"/>
  <c r="B83" i="12"/>
  <c r="B82" i="12"/>
  <c r="B81" i="12"/>
  <c r="B217" i="14"/>
  <c r="D36" i="12" l="1"/>
  <c r="D35" i="12"/>
  <c r="D34" i="12"/>
  <c r="D33" i="12"/>
  <c r="D32" i="12"/>
  <c r="D31" i="12"/>
  <c r="D30" i="12"/>
  <c r="D29" i="12"/>
  <c r="D28" i="12"/>
  <c r="D27" i="12"/>
  <c r="D26" i="12"/>
  <c r="D18" i="12"/>
  <c r="A70" i="12" l="1"/>
  <c r="A69" i="12"/>
  <c r="A68" i="12"/>
  <c r="A67" i="12"/>
  <c r="A66" i="12"/>
  <c r="A65" i="12"/>
  <c r="A64" i="12"/>
  <c r="A63" i="12"/>
  <c r="A62" i="12"/>
  <c r="A61" i="12"/>
  <c r="A60" i="12"/>
  <c r="A59" i="12"/>
  <c r="A58" i="12"/>
  <c r="A57" i="12"/>
  <c r="A56" i="12"/>
  <c r="A55" i="12"/>
  <c r="A54" i="12"/>
  <c r="A52" i="12"/>
  <c r="A51" i="12"/>
  <c r="A50" i="12"/>
  <c r="A49" i="12"/>
  <c r="A48" i="12"/>
  <c r="A47" i="12"/>
  <c r="C47" i="12"/>
  <c r="C253" i="14" l="1"/>
  <c r="C249" i="14"/>
  <c r="C245" i="14"/>
  <c r="C232" i="14"/>
  <c r="C228" i="14"/>
  <c r="C224" i="14"/>
  <c r="C211" i="14"/>
  <c r="C207" i="14"/>
  <c r="C203" i="14"/>
  <c r="C190" i="14"/>
  <c r="C186" i="14"/>
  <c r="C178" i="14"/>
  <c r="C169" i="14"/>
  <c r="C165" i="14"/>
  <c r="C161" i="14"/>
  <c r="C157" i="14"/>
  <c r="C148" i="14"/>
  <c r="C62" i="14"/>
  <c r="C58" i="14"/>
  <c r="C54" i="14"/>
  <c r="C50" i="14"/>
  <c r="C41" i="14"/>
  <c r="C37" i="14"/>
  <c r="C29" i="14"/>
  <c r="C144" i="14"/>
  <c r="C140" i="14"/>
  <c r="C136" i="14"/>
  <c r="C132" i="14"/>
  <c r="C128" i="14"/>
  <c r="C124" i="14"/>
  <c r="C120" i="14"/>
  <c r="C116" i="14"/>
  <c r="C112" i="14"/>
  <c r="C108" i="14"/>
  <c r="C104" i="14"/>
  <c r="C100" i="14"/>
  <c r="C84" i="14"/>
  <c r="B85" i="14"/>
  <c r="O53" i="15"/>
  <c r="O52" i="15"/>
  <c r="O51" i="15"/>
  <c r="O50" i="15"/>
  <c r="O49" i="15"/>
  <c r="O48" i="15"/>
  <c r="O47" i="15"/>
  <c r="O46" i="15"/>
  <c r="O45" i="15"/>
  <c r="O44" i="15"/>
  <c r="O43" i="15"/>
  <c r="O42" i="15"/>
  <c r="O41" i="15"/>
  <c r="O40" i="15"/>
  <c r="O39" i="15"/>
  <c r="O38" i="15"/>
  <c r="O37" i="15"/>
  <c r="O36" i="15"/>
  <c r="O35" i="15"/>
  <c r="O34" i="15"/>
  <c r="O33" i="15" l="1"/>
  <c r="O32" i="15"/>
  <c r="O31" i="15"/>
  <c r="O30" i="15"/>
  <c r="O29" i="15"/>
  <c r="O28" i="15"/>
  <c r="O27" i="15"/>
  <c r="O26" i="15"/>
  <c r="O25" i="15"/>
  <c r="O24" i="15"/>
  <c r="O23" i="15"/>
  <c r="O22" i="15"/>
  <c r="O21" i="15"/>
  <c r="O20" i="15"/>
  <c r="O19" i="15"/>
  <c r="O18" i="15"/>
  <c r="O17" i="15"/>
  <c r="O16" i="15"/>
  <c r="O15" i="15"/>
  <c r="O14" i="15"/>
  <c r="O13" i="15"/>
  <c r="O12" i="15"/>
  <c r="O11" i="15"/>
  <c r="O10" i="15"/>
  <c r="O9" i="15"/>
  <c r="B270" i="14" l="1"/>
  <c r="B252" i="14"/>
  <c r="B248" i="14"/>
  <c r="B244" i="14"/>
  <c r="B240" i="14"/>
  <c r="B231" i="14"/>
  <c r="B227" i="14"/>
  <c r="B223" i="14"/>
  <c r="B219" i="14"/>
  <c r="B210" i="14"/>
  <c r="B206" i="14"/>
  <c r="B202" i="14"/>
  <c r="B198" i="14"/>
  <c r="B189" i="14"/>
  <c r="B185" i="14"/>
  <c r="B181" i="14"/>
  <c r="B168" i="14"/>
  <c r="B164" i="14"/>
  <c r="B160" i="14"/>
  <c r="B147" i="14"/>
  <c r="B143" i="14"/>
  <c r="B139" i="14"/>
  <c r="B135" i="14"/>
  <c r="B131" i="14"/>
  <c r="B127" i="14"/>
  <c r="B123" i="14"/>
  <c r="B119" i="14"/>
  <c r="B115" i="14"/>
  <c r="B111" i="14"/>
  <c r="B107" i="14"/>
  <c r="B95" i="14"/>
  <c r="B87" i="14"/>
  <c r="B61" i="14"/>
  <c r="B57" i="14"/>
  <c r="B53" i="14"/>
  <c r="B269" i="14"/>
  <c r="B251" i="14"/>
  <c r="B247" i="14"/>
  <c r="B243" i="14"/>
  <c r="B239" i="14"/>
  <c r="C238" i="14" s="1"/>
  <c r="B230" i="14"/>
  <c r="B226" i="14"/>
  <c r="B222" i="14"/>
  <c r="B218" i="14"/>
  <c r="C217" i="14" s="1"/>
  <c r="B209" i="14"/>
  <c r="B205" i="14"/>
  <c r="B201" i="14"/>
  <c r="B197" i="14"/>
  <c r="B188" i="14"/>
  <c r="B184" i="14"/>
  <c r="B180" i="14"/>
  <c r="B167" i="14"/>
  <c r="B163" i="14"/>
  <c r="B159" i="14"/>
  <c r="B146" i="14"/>
  <c r="B142" i="14"/>
  <c r="B138" i="14"/>
  <c r="B137" i="14"/>
  <c r="B134" i="14"/>
  <c r="B130" i="14"/>
  <c r="B126" i="14"/>
  <c r="B125" i="14"/>
  <c r="B122" i="14"/>
  <c r="B118" i="14"/>
  <c r="C117" i="14" s="1"/>
  <c r="B114" i="14"/>
  <c r="C113" i="14" s="1"/>
  <c r="B110" i="14"/>
  <c r="C109" i="14" s="1"/>
  <c r="B106" i="14"/>
  <c r="C105" i="14" s="1"/>
  <c r="B94" i="14"/>
  <c r="C93" i="14" s="1"/>
  <c r="B90" i="14"/>
  <c r="C89" i="14" s="1"/>
  <c r="B86" i="14"/>
  <c r="C85" i="14" s="1"/>
  <c r="B60" i="14"/>
  <c r="C59" i="14" s="1"/>
  <c r="B56" i="14"/>
  <c r="B52" i="14"/>
  <c r="C51" i="14" s="1"/>
  <c r="D269" i="14" l="1"/>
  <c r="B40" i="13"/>
  <c r="B44" i="13"/>
  <c r="B36" i="13"/>
  <c r="B32" i="13"/>
  <c r="B36" i="1" l="1"/>
  <c r="B35" i="1"/>
  <c r="B34" i="1"/>
  <c r="B33" i="1"/>
  <c r="B32" i="1"/>
  <c r="B274" i="14"/>
  <c r="B268" i="14"/>
  <c r="B250" i="14"/>
  <c r="B246" i="14"/>
  <c r="B242" i="14"/>
  <c r="B238" i="14"/>
  <c r="B229" i="14"/>
  <c r="B221" i="14"/>
  <c r="B208" i="14"/>
  <c r="B204" i="14"/>
  <c r="B200" i="14"/>
  <c r="B196" i="14"/>
  <c r="B187" i="14"/>
  <c r="B183" i="14"/>
  <c r="B179" i="14"/>
  <c r="B166" i="14"/>
  <c r="B162" i="14"/>
  <c r="B158" i="14"/>
  <c r="B145" i="14"/>
  <c r="B141" i="14"/>
  <c r="B133" i="14"/>
  <c r="B121" i="14"/>
  <c r="B117" i="14"/>
  <c r="B113" i="14"/>
  <c r="B109" i="14"/>
  <c r="B105" i="14"/>
  <c r="B93" i="14"/>
  <c r="B89" i="14"/>
  <c r="B59" i="14"/>
  <c r="B55" i="14"/>
  <c r="B51" i="14"/>
  <c r="B16" i="14"/>
  <c r="E19" i="13" s="1"/>
  <c r="B15" i="14"/>
  <c r="C19" i="13" s="1"/>
  <c r="B12" i="14"/>
  <c r="C18" i="13" s="1"/>
  <c r="B11" i="14"/>
  <c r="C17" i="13" s="1"/>
  <c r="B10" i="14"/>
  <c r="E16" i="13" s="1"/>
  <c r="B9" i="14"/>
  <c r="C16" i="13" s="1"/>
  <c r="B8" i="14"/>
  <c r="E12" i="13" s="1"/>
  <c r="B7" i="14"/>
  <c r="B6" i="14"/>
  <c r="B5" i="14"/>
  <c r="C13" i="13" s="1"/>
  <c r="B4" i="14"/>
  <c r="C12" i="13" s="1"/>
  <c r="B3" i="14"/>
  <c r="B275" i="14" s="1"/>
  <c r="B2" i="14"/>
  <c r="C11" i="13" s="1"/>
  <c r="F28" i="9"/>
  <c r="B11" i="12"/>
  <c r="B4" i="12"/>
  <c r="B5" i="12"/>
  <c r="B12" i="12"/>
  <c r="D18" i="18" l="1"/>
  <c r="E16" i="9"/>
  <c r="D17" i="18"/>
  <c r="E15" i="9"/>
  <c r="E11" i="13"/>
  <c r="D13" i="18"/>
  <c r="E11" i="9"/>
  <c r="D12" i="18"/>
  <c r="E10" i="9"/>
  <c r="L3" i="15"/>
  <c r="L61"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K11" i="7" l="1"/>
  <c r="B273" i="12"/>
  <c r="C272" i="12" s="1"/>
  <c r="I61" i="7"/>
  <c r="B270" i="12"/>
  <c r="C269" i="12" s="1"/>
  <c r="B269" i="12"/>
  <c r="B271" i="12"/>
  <c r="L60" i="7" s="1"/>
  <c r="B266" i="12"/>
  <c r="B256" i="12"/>
  <c r="C255" i="12" s="1"/>
  <c r="B255" i="12"/>
  <c r="I57" i="7" s="1"/>
  <c r="B253" i="12"/>
  <c r="C252" i="12" s="1"/>
  <c r="B252" i="12"/>
  <c r="B250" i="12"/>
  <c r="C249" i="12" s="1"/>
  <c r="B249" i="12"/>
  <c r="B239" i="12"/>
  <c r="C238" i="12" s="1"/>
  <c r="B238" i="12"/>
  <c r="I53" i="7" s="1"/>
  <c r="B236" i="12"/>
  <c r="C235" i="12" s="1"/>
  <c r="B235" i="12"/>
  <c r="B233" i="12"/>
  <c r="C232" i="12" s="1"/>
  <c r="B232" i="12"/>
  <c r="B222" i="12"/>
  <c r="C221" i="12" s="1"/>
  <c r="B221" i="12"/>
  <c r="I49" i="7" s="1"/>
  <c r="B219" i="12"/>
  <c r="C218" i="12" s="1"/>
  <c r="B218" i="12"/>
  <c r="B205" i="12"/>
  <c r="C204" i="12" s="1"/>
  <c r="B204" i="12"/>
  <c r="I45" i="7" s="1"/>
  <c r="B202" i="12"/>
  <c r="C201" i="12" s="1"/>
  <c r="B201" i="12"/>
  <c r="B199" i="12"/>
  <c r="C198" i="12" s="1"/>
  <c r="B198" i="12"/>
  <c r="B188" i="12"/>
  <c r="C187" i="12" s="1"/>
  <c r="B187" i="12"/>
  <c r="I41" i="7" s="1"/>
  <c r="B185" i="12"/>
  <c r="C184" i="12" s="1"/>
  <c r="B184" i="12"/>
  <c r="B182" i="12"/>
  <c r="C181" i="12" s="1"/>
  <c r="B181" i="12"/>
  <c r="B179" i="12"/>
  <c r="C178" i="12" s="1"/>
  <c r="B178" i="12"/>
  <c r="B175" i="12"/>
  <c r="B173" i="12"/>
  <c r="C172" i="12" s="1"/>
  <c r="B170" i="12"/>
  <c r="C169" i="12" s="1"/>
  <c r="B169" i="12"/>
  <c r="B167" i="12"/>
  <c r="C166" i="12" s="1"/>
  <c r="B166" i="12"/>
  <c r="B164" i="12"/>
  <c r="C163" i="12" s="1"/>
  <c r="B163" i="12"/>
  <c r="B161" i="12"/>
  <c r="C160" i="12" s="1"/>
  <c r="B160" i="12"/>
  <c r="B118" i="12"/>
  <c r="I24" i="7" s="1"/>
  <c r="B116" i="12"/>
  <c r="C115" i="12" s="1"/>
  <c r="B115" i="12"/>
  <c r="B113" i="12"/>
  <c r="C112" i="12" s="1"/>
  <c r="B112" i="12"/>
  <c r="B102" i="12"/>
  <c r="C101" i="12" s="1"/>
  <c r="B101" i="12"/>
  <c r="I20" i="7" s="1"/>
  <c r="B99" i="12"/>
  <c r="C98" i="12" s="1"/>
  <c r="B98" i="12"/>
  <c r="I19" i="7" s="1"/>
  <c r="K59" i="7" l="1"/>
  <c r="K60" i="7"/>
  <c r="K61" i="7"/>
  <c r="K56" i="7"/>
  <c r="K53" i="7"/>
  <c r="K43" i="7"/>
  <c r="K44" i="7"/>
  <c r="K32" i="7"/>
  <c r="K33" i="7"/>
  <c r="K34" i="7"/>
  <c r="K35" i="7"/>
  <c r="K36" i="7"/>
  <c r="K37" i="7"/>
  <c r="K38" i="7"/>
  <c r="K39" i="7"/>
  <c r="K40" i="7"/>
  <c r="K41" i="7"/>
  <c r="K20" i="7"/>
  <c r="A51" i="5"/>
  <c r="A105" i="5" s="1"/>
  <c r="I51" i="7"/>
  <c r="I52" i="7"/>
  <c r="I32" i="7"/>
  <c r="I33" i="7"/>
  <c r="I34" i="7"/>
  <c r="I35" i="7"/>
  <c r="I37" i="7"/>
  <c r="I38" i="7"/>
  <c r="I39" i="7"/>
  <c r="I40" i="7"/>
  <c r="K22" i="7"/>
  <c r="K24" i="7"/>
  <c r="K45" i="7"/>
  <c r="K19" i="7"/>
  <c r="K23" i="7"/>
  <c r="I55" i="7"/>
  <c r="I44" i="7"/>
  <c r="K49" i="7"/>
  <c r="K51" i="7"/>
  <c r="K55" i="7"/>
  <c r="K57" i="7"/>
  <c r="I59" i="7"/>
  <c r="I22" i="7"/>
  <c r="I23" i="7"/>
  <c r="I43" i="7"/>
  <c r="I48" i="7"/>
  <c r="K48" i="7"/>
  <c r="K52" i="7"/>
  <c r="I56" i="7"/>
  <c r="I60" i="7"/>
  <c r="J3" i="7"/>
  <c r="E86" i="9"/>
  <c r="D81" i="9"/>
  <c r="A104" i="5" l="1"/>
  <c r="A102" i="5"/>
  <c r="A100" i="5"/>
  <c r="A98" i="5"/>
  <c r="A103" i="5"/>
  <c r="A101" i="5"/>
  <c r="A99" i="5"/>
  <c r="A52" i="5"/>
  <c r="A53" i="5"/>
  <c r="E48" i="9"/>
  <c r="E47" i="9"/>
  <c r="D54" i="9"/>
  <c r="E52" i="9"/>
  <c r="I51" i="9"/>
  <c r="E51" i="9"/>
  <c r="I50" i="9"/>
  <c r="I47" i="9"/>
  <c r="E50" i="9"/>
  <c r="F45" i="12"/>
  <c r="G41" i="9" s="1"/>
  <c r="A45" i="12"/>
  <c r="A44" i="12"/>
  <c r="A43" i="12"/>
  <c r="A42" i="12"/>
  <c r="A41" i="12"/>
  <c r="F44" i="12"/>
  <c r="F43" i="12"/>
  <c r="F42" i="12"/>
  <c r="F41" i="12"/>
  <c r="F40" i="12"/>
  <c r="G40" i="9" l="1"/>
  <c r="A205" i="5"/>
  <c r="A204" i="5"/>
  <c r="A203" i="5"/>
  <c r="A202" i="5"/>
  <c r="A201" i="5"/>
  <c r="F32" i="9"/>
  <c r="F36" i="12" l="1"/>
  <c r="F35" i="12"/>
  <c r="F34" i="12"/>
  <c r="F33" i="12"/>
  <c r="F32" i="12"/>
  <c r="F31" i="12"/>
  <c r="F30" i="12"/>
  <c r="F29" i="12"/>
  <c r="F28" i="12"/>
  <c r="F27" i="12"/>
  <c r="F26" i="12"/>
  <c r="B25" i="12"/>
  <c r="F25" i="12" s="1"/>
  <c r="B23" i="12"/>
  <c r="B22" i="12"/>
  <c r="A36" i="12"/>
  <c r="A35" i="12"/>
  <c r="A34" i="12"/>
  <c r="A33" i="12"/>
  <c r="A32" i="12"/>
  <c r="A31" i="12"/>
  <c r="A30" i="12"/>
  <c r="A29" i="12"/>
  <c r="A28" i="12"/>
  <c r="A27" i="12"/>
  <c r="C249" i="5"/>
  <c r="C246" i="5"/>
  <c r="C243" i="5"/>
  <c r="C240" i="5"/>
  <c r="C236" i="5"/>
  <c r="C233" i="5"/>
  <c r="C227" i="5"/>
  <c r="C366" i="5"/>
  <c r="C363" i="5"/>
  <c r="C360" i="5"/>
  <c r="C357" i="5"/>
  <c r="C353" i="5"/>
  <c r="C350" i="5"/>
  <c r="C347" i="5"/>
  <c r="C344" i="5"/>
  <c r="C340" i="5"/>
  <c r="C337" i="5"/>
  <c r="C334" i="5"/>
  <c r="C331" i="5"/>
  <c r="C327" i="5"/>
  <c r="C324" i="5"/>
  <c r="C321" i="5"/>
  <c r="C318" i="5"/>
  <c r="C314" i="5"/>
  <c r="C311" i="5"/>
  <c r="C308" i="5"/>
  <c r="C305" i="5"/>
  <c r="L26" i="3"/>
  <c r="G36" i="9" l="1"/>
  <c r="G35" i="9"/>
  <c r="D22" i="12"/>
  <c r="F32" i="3"/>
  <c r="H32" i="3"/>
  <c r="D32" i="3"/>
  <c r="B80" i="12"/>
  <c r="B16" i="12"/>
  <c r="B15" i="12"/>
  <c r="B10" i="12"/>
  <c r="B9" i="12"/>
  <c r="B8" i="12"/>
  <c r="B7" i="12"/>
  <c r="B6" i="12"/>
  <c r="B3" i="12"/>
  <c r="B292" i="12" s="1"/>
  <c r="B2" i="12"/>
  <c r="A39" i="5"/>
  <c r="B40" i="5" s="1"/>
  <c r="A78" i="5"/>
  <c r="A77" i="5"/>
  <c r="A76" i="5"/>
  <c r="A145" i="5" s="1"/>
  <c r="A73" i="5"/>
  <c r="A72" i="5"/>
  <c r="A71" i="5"/>
  <c r="A137" i="5" s="1"/>
  <c r="A68" i="5"/>
  <c r="A67" i="5"/>
  <c r="A66" i="5"/>
  <c r="A129" i="5" s="1"/>
  <c r="A63" i="5"/>
  <c r="A62" i="5"/>
  <c r="A61" i="5"/>
  <c r="A121" i="5" s="1"/>
  <c r="A58" i="5"/>
  <c r="A57" i="5"/>
  <c r="A56" i="5"/>
  <c r="A113" i="5" s="1"/>
  <c r="H19" i="18" l="1"/>
  <c r="I17" i="9"/>
  <c r="D19" i="18"/>
  <c r="E17" i="9"/>
  <c r="H16" i="18"/>
  <c r="I14" i="9"/>
  <c r="D16" i="18"/>
  <c r="E14" i="9"/>
  <c r="I10" i="9"/>
  <c r="H12" i="18"/>
  <c r="I9" i="9"/>
  <c r="H11" i="18"/>
  <c r="E9" i="9"/>
  <c r="D11" i="18"/>
  <c r="A111" i="5"/>
  <c r="A109" i="5"/>
  <c r="A107" i="5"/>
  <c r="A106" i="5"/>
  <c r="A112" i="5"/>
  <c r="A110" i="5"/>
  <c r="A108" i="5"/>
  <c r="A119" i="5"/>
  <c r="A117" i="5"/>
  <c r="A115" i="5"/>
  <c r="A114" i="5"/>
  <c r="A120" i="5"/>
  <c r="A118" i="5"/>
  <c r="A116" i="5"/>
  <c r="A135" i="5"/>
  <c r="A133" i="5"/>
  <c r="A131" i="5"/>
  <c r="A130" i="5"/>
  <c r="A136" i="5"/>
  <c r="A134" i="5"/>
  <c r="A132" i="5"/>
  <c r="A127" i="5"/>
  <c r="A125" i="5"/>
  <c r="A123" i="5"/>
  <c r="A122" i="5"/>
  <c r="A128" i="5"/>
  <c r="A126" i="5"/>
  <c r="A124" i="5"/>
  <c r="A143" i="5"/>
  <c r="A141" i="5"/>
  <c r="A139" i="5"/>
  <c r="A138" i="5"/>
  <c r="A144" i="5"/>
  <c r="A142" i="5"/>
  <c r="A140" i="5"/>
  <c r="D23" i="12"/>
  <c r="F30" i="9" s="1"/>
  <c r="G17" i="6" l="1"/>
  <c r="G9" i="15" l="1"/>
  <c r="B26" i="14"/>
  <c r="G17" i="7"/>
  <c r="B92" i="12"/>
  <c r="J11" i="6"/>
  <c r="H11" i="7" s="1"/>
  <c r="I17" i="6"/>
  <c r="B28" i="14" s="1"/>
  <c r="G11" i="6"/>
  <c r="B273" i="14" s="1"/>
  <c r="I9" i="15" l="1"/>
  <c r="I17" i="7"/>
  <c r="G11" i="7"/>
  <c r="B290" i="12"/>
  <c r="I11" i="7" s="1"/>
  <c r="I66" i="6"/>
  <c r="I65" i="6"/>
  <c r="B267" i="14" s="1"/>
  <c r="I64" i="6"/>
  <c r="B264" i="14" s="1"/>
  <c r="I63" i="6"/>
  <c r="B261" i="14" s="1"/>
  <c r="H66" i="6"/>
  <c r="H65" i="6"/>
  <c r="H64" i="6"/>
  <c r="H63" i="6"/>
  <c r="G66" i="6"/>
  <c r="G66" i="7" s="1"/>
  <c r="G65" i="6"/>
  <c r="B265" i="14" s="1"/>
  <c r="G64" i="6"/>
  <c r="B262" i="14" s="1"/>
  <c r="G63" i="6"/>
  <c r="B259" i="14" s="1"/>
  <c r="I61" i="6"/>
  <c r="I53" i="15" s="1"/>
  <c r="I60" i="6"/>
  <c r="I52" i="15" s="1"/>
  <c r="I59" i="6"/>
  <c r="I51" i="15" s="1"/>
  <c r="I58" i="6"/>
  <c r="I50" i="15" s="1"/>
  <c r="H61" i="6"/>
  <c r="H60" i="6"/>
  <c r="H59" i="6"/>
  <c r="H58" i="6"/>
  <c r="G61" i="6"/>
  <c r="G60" i="6"/>
  <c r="G59" i="6"/>
  <c r="G58" i="6"/>
  <c r="I57" i="6"/>
  <c r="I49" i="15" s="1"/>
  <c r="I56" i="6"/>
  <c r="I48" i="15" s="1"/>
  <c r="I55" i="6"/>
  <c r="I47" i="15" s="1"/>
  <c r="I54" i="6"/>
  <c r="I46" i="15" s="1"/>
  <c r="H57" i="6"/>
  <c r="H56" i="6"/>
  <c r="H55" i="6"/>
  <c r="H54" i="6"/>
  <c r="G57" i="6"/>
  <c r="G56" i="6"/>
  <c r="G55" i="6"/>
  <c r="G54" i="6"/>
  <c r="I53" i="6"/>
  <c r="I45" i="15" s="1"/>
  <c r="I52" i="6"/>
  <c r="I44" i="15" s="1"/>
  <c r="I51" i="6"/>
  <c r="I43" i="15" s="1"/>
  <c r="I50" i="6"/>
  <c r="I42" i="15" s="1"/>
  <c r="H53" i="6"/>
  <c r="H52" i="6"/>
  <c r="H51" i="6"/>
  <c r="H50" i="6"/>
  <c r="H42" i="15" s="1"/>
  <c r="G53" i="6"/>
  <c r="G52" i="6"/>
  <c r="G51" i="6"/>
  <c r="G50" i="6"/>
  <c r="I49" i="6"/>
  <c r="I41" i="15" s="1"/>
  <c r="I48" i="6"/>
  <c r="I40" i="15" s="1"/>
  <c r="I47" i="6"/>
  <c r="I39" i="15" s="1"/>
  <c r="I46" i="6"/>
  <c r="I45" i="6"/>
  <c r="I37" i="15" s="1"/>
  <c r="H49" i="6"/>
  <c r="H48" i="6"/>
  <c r="H47" i="6"/>
  <c r="H39" i="15" s="1"/>
  <c r="H46" i="6"/>
  <c r="H45" i="6"/>
  <c r="G49" i="6"/>
  <c r="G48" i="6"/>
  <c r="G47" i="6"/>
  <c r="G46" i="6"/>
  <c r="G45" i="6"/>
  <c r="H41" i="6"/>
  <c r="H33" i="15" s="1"/>
  <c r="H40" i="6"/>
  <c r="H32" i="15" s="1"/>
  <c r="H39" i="6"/>
  <c r="H31" i="15" s="1"/>
  <c r="H38" i="6"/>
  <c r="H30" i="15" s="1"/>
  <c r="H37" i="6"/>
  <c r="H29" i="15" s="1"/>
  <c r="H36" i="6"/>
  <c r="H28" i="15" s="1"/>
  <c r="H35" i="6"/>
  <c r="H27" i="15" s="1"/>
  <c r="H34" i="6"/>
  <c r="H26" i="15" s="1"/>
  <c r="H33" i="6"/>
  <c r="H25" i="15" s="1"/>
  <c r="H32" i="6"/>
  <c r="H24" i="15" s="1"/>
  <c r="H31" i="6"/>
  <c r="H23" i="15" s="1"/>
  <c r="H30" i="6"/>
  <c r="B102" i="14" s="1"/>
  <c r="C101" i="14" s="1"/>
  <c r="H29" i="6"/>
  <c r="H28" i="6"/>
  <c r="H20" i="15" s="1"/>
  <c r="H27" i="6"/>
  <c r="H19" i="15" s="1"/>
  <c r="H26" i="6"/>
  <c r="H18" i="15" s="1"/>
  <c r="H25" i="6"/>
  <c r="H24" i="6"/>
  <c r="H16" i="15" s="1"/>
  <c r="H23" i="6"/>
  <c r="H15" i="15" s="1"/>
  <c r="H22" i="6"/>
  <c r="H14" i="15" s="1"/>
  <c r="H21" i="6"/>
  <c r="H20" i="6"/>
  <c r="H12" i="15" s="1"/>
  <c r="H19" i="6"/>
  <c r="H11" i="15" s="1"/>
  <c r="H18" i="6"/>
  <c r="H10" i="15" s="1"/>
  <c r="H17" i="6"/>
  <c r="B27" i="14" s="1"/>
  <c r="C26" i="14" s="1"/>
  <c r="H44" i="6"/>
  <c r="H36" i="15" s="1"/>
  <c r="H43" i="6"/>
  <c r="H35" i="15" s="1"/>
  <c r="H42" i="6"/>
  <c r="I43" i="6"/>
  <c r="I35" i="15" s="1"/>
  <c r="I42" i="6"/>
  <c r="J42" i="15" l="1"/>
  <c r="J66" i="6"/>
  <c r="J39" i="15"/>
  <c r="K39" i="15" s="1"/>
  <c r="G59" i="7"/>
  <c r="G51" i="15"/>
  <c r="G61" i="7"/>
  <c r="G53" i="15"/>
  <c r="J59" i="6"/>
  <c r="H59" i="7" s="1"/>
  <c r="H51" i="15"/>
  <c r="J51" i="15" s="1"/>
  <c r="J61" i="6"/>
  <c r="H53" i="15"/>
  <c r="J53" i="15" s="1"/>
  <c r="G60" i="7"/>
  <c r="G52" i="15"/>
  <c r="J60" i="6"/>
  <c r="H60" i="7" s="1"/>
  <c r="H52" i="15"/>
  <c r="J52" i="15" s="1"/>
  <c r="G56" i="7"/>
  <c r="G48" i="15"/>
  <c r="J56" i="6"/>
  <c r="H56" i="7" s="1"/>
  <c r="H48" i="15"/>
  <c r="J48" i="15" s="1"/>
  <c r="G55" i="7"/>
  <c r="G47" i="15"/>
  <c r="G57" i="7"/>
  <c r="G49" i="15"/>
  <c r="J55" i="6"/>
  <c r="H55" i="7" s="1"/>
  <c r="H47" i="15"/>
  <c r="J47" i="15" s="1"/>
  <c r="J57" i="6"/>
  <c r="H57" i="7" s="1"/>
  <c r="H49" i="15"/>
  <c r="J49" i="15" s="1"/>
  <c r="G52" i="7"/>
  <c r="G44" i="15"/>
  <c r="J52" i="6"/>
  <c r="H52" i="7" s="1"/>
  <c r="H44" i="15"/>
  <c r="J44" i="15" s="1"/>
  <c r="G51" i="7"/>
  <c r="G43" i="15"/>
  <c r="G53" i="7"/>
  <c r="G45" i="15"/>
  <c r="J51" i="6"/>
  <c r="H51" i="7" s="1"/>
  <c r="H43" i="15"/>
  <c r="J43" i="15" s="1"/>
  <c r="J53" i="6"/>
  <c r="H45" i="15"/>
  <c r="J45" i="15" s="1"/>
  <c r="G48" i="7"/>
  <c r="G40" i="15"/>
  <c r="J49" i="6"/>
  <c r="H49" i="7" s="1"/>
  <c r="H41" i="15"/>
  <c r="J41" i="15" s="1"/>
  <c r="G49" i="7"/>
  <c r="G41" i="15"/>
  <c r="J48" i="6"/>
  <c r="H48" i="7" s="1"/>
  <c r="H40" i="15"/>
  <c r="J40" i="15" s="1"/>
  <c r="J35" i="15"/>
  <c r="J45" i="6"/>
  <c r="H45" i="7" s="1"/>
  <c r="H37" i="15"/>
  <c r="J37" i="15" s="1"/>
  <c r="G45" i="7"/>
  <c r="G37" i="15"/>
  <c r="J63" i="6"/>
  <c r="B260" i="14"/>
  <c r="D260" i="14" s="1"/>
  <c r="J65" i="6"/>
  <c r="B285" i="12" s="1"/>
  <c r="K65" i="7" s="1"/>
  <c r="B266" i="14"/>
  <c r="D266" i="14" s="1"/>
  <c r="J64" i="6"/>
  <c r="B283" i="12" s="1"/>
  <c r="K64" i="7" s="1"/>
  <c r="B263" i="14"/>
  <c r="D263" i="14" s="1"/>
  <c r="C241" i="14"/>
  <c r="G50" i="15"/>
  <c r="J58" i="6"/>
  <c r="H50" i="15"/>
  <c r="J50" i="15" s="1"/>
  <c r="J54" i="6"/>
  <c r="B247" i="12" s="1"/>
  <c r="C246" i="12" s="1"/>
  <c r="H46" i="15"/>
  <c r="J46" i="15" s="1"/>
  <c r="C220" i="14"/>
  <c r="G46" i="15"/>
  <c r="C199" i="14"/>
  <c r="G42" i="15"/>
  <c r="K42" i="15"/>
  <c r="L42" i="15"/>
  <c r="G38" i="15"/>
  <c r="B175" i="14"/>
  <c r="B177" i="14"/>
  <c r="I38" i="15"/>
  <c r="C182" i="14"/>
  <c r="G39" i="15"/>
  <c r="B176" i="14"/>
  <c r="H38" i="15"/>
  <c r="B156" i="14"/>
  <c r="I34" i="15"/>
  <c r="B155" i="14"/>
  <c r="H34" i="15"/>
  <c r="B82" i="14"/>
  <c r="C81" i="14" s="1"/>
  <c r="H17" i="15"/>
  <c r="B98" i="14"/>
  <c r="C97" i="14" s="1"/>
  <c r="H21" i="15"/>
  <c r="H22" i="15"/>
  <c r="B48" i="14"/>
  <c r="C47" i="14" s="1"/>
  <c r="H13" i="15"/>
  <c r="J17" i="6"/>
  <c r="H9" i="15"/>
  <c r="J9" i="15" s="1"/>
  <c r="J43" i="6"/>
  <c r="H43" i="7" s="1"/>
  <c r="G46" i="7"/>
  <c r="B212" i="12"/>
  <c r="G50" i="7"/>
  <c r="B229" i="12"/>
  <c r="G54" i="7"/>
  <c r="B246" i="12"/>
  <c r="G58" i="7"/>
  <c r="B263" i="12"/>
  <c r="G63" i="7"/>
  <c r="B280" i="12"/>
  <c r="G65" i="7"/>
  <c r="B284" i="12"/>
  <c r="G47" i="7"/>
  <c r="B215" i="12"/>
  <c r="G64" i="7"/>
  <c r="B282" i="12"/>
  <c r="J42" i="6"/>
  <c r="J46" i="6"/>
  <c r="J47" i="6"/>
  <c r="J50" i="6"/>
  <c r="H61" i="7"/>
  <c r="I44" i="6"/>
  <c r="I36" i="15" s="1"/>
  <c r="J36" i="15" s="1"/>
  <c r="G44" i="6"/>
  <c r="G43" i="6"/>
  <c r="G42" i="6"/>
  <c r="G41" i="6"/>
  <c r="H53" i="7"/>
  <c r="I41" i="6"/>
  <c r="I40" i="6"/>
  <c r="I32" i="15" s="1"/>
  <c r="J32" i="15" s="1"/>
  <c r="I39" i="6"/>
  <c r="I38" i="6"/>
  <c r="I30" i="15" s="1"/>
  <c r="J30" i="15" s="1"/>
  <c r="I37" i="6"/>
  <c r="I29" i="15" s="1"/>
  <c r="J29" i="15" s="1"/>
  <c r="I36" i="6"/>
  <c r="I28" i="15" s="1"/>
  <c r="J28" i="15" s="1"/>
  <c r="I35" i="6"/>
  <c r="I34" i="6"/>
  <c r="I33" i="6"/>
  <c r="I25" i="15" s="1"/>
  <c r="J25" i="15" s="1"/>
  <c r="I32" i="6"/>
  <c r="I24" i="15" s="1"/>
  <c r="J24" i="15" s="1"/>
  <c r="I31" i="6"/>
  <c r="I30" i="6"/>
  <c r="I29" i="6"/>
  <c r="I28" i="6"/>
  <c r="I27" i="6"/>
  <c r="I19" i="15" s="1"/>
  <c r="J19" i="15" s="1"/>
  <c r="I26" i="6"/>
  <c r="I18" i="15" s="1"/>
  <c r="J18" i="15" s="1"/>
  <c r="G40" i="6"/>
  <c r="G39" i="6"/>
  <c r="G38" i="6"/>
  <c r="G37" i="6"/>
  <c r="G36" i="6"/>
  <c r="G35" i="6"/>
  <c r="G34" i="6"/>
  <c r="G33" i="6"/>
  <c r="G32" i="6"/>
  <c r="G31" i="6"/>
  <c r="B157" i="12" s="1"/>
  <c r="I31" i="7" s="1"/>
  <c r="G29" i="6"/>
  <c r="G30" i="6"/>
  <c r="G28" i="6"/>
  <c r="B148" i="12" s="1"/>
  <c r="I28" i="7" s="1"/>
  <c r="G27" i="6"/>
  <c r="G26" i="6"/>
  <c r="G25" i="6"/>
  <c r="B81" i="14" s="1"/>
  <c r="I25" i="6"/>
  <c r="G24" i="6"/>
  <c r="H66" i="7" l="1"/>
  <c r="B287" i="12"/>
  <c r="K66" i="7" s="1"/>
  <c r="B264" i="12"/>
  <c r="C263" i="12" s="1"/>
  <c r="J34" i="15"/>
  <c r="L34" i="15" s="1"/>
  <c r="J38" i="15"/>
  <c r="K38" i="15" s="1"/>
  <c r="B286" i="12"/>
  <c r="I66" i="7" s="1"/>
  <c r="B281" i="12"/>
  <c r="K63" i="7" s="1"/>
  <c r="K67" i="7" s="1"/>
  <c r="J67" i="6"/>
  <c r="H58" i="7"/>
  <c r="H64" i="7"/>
  <c r="K54" i="7"/>
  <c r="L39" i="15"/>
  <c r="M39" i="15" s="1"/>
  <c r="N39" i="15" s="1"/>
  <c r="M42" i="15"/>
  <c r="N42" i="15" s="1"/>
  <c r="H63" i="7"/>
  <c r="H65" i="7"/>
  <c r="K52" i="15"/>
  <c r="L52" i="15"/>
  <c r="L53" i="15"/>
  <c r="K53" i="15"/>
  <c r="K51" i="15"/>
  <c r="L51" i="15"/>
  <c r="H54" i="7"/>
  <c r="L49" i="15"/>
  <c r="K49" i="15"/>
  <c r="K47" i="15"/>
  <c r="L47" i="15"/>
  <c r="K48" i="15"/>
  <c r="L48" i="15"/>
  <c r="L45" i="15"/>
  <c r="K45" i="15"/>
  <c r="K43" i="15"/>
  <c r="L43" i="15"/>
  <c r="K44" i="15"/>
  <c r="L44" i="15"/>
  <c r="K40" i="15"/>
  <c r="L40" i="15"/>
  <c r="K41" i="15"/>
  <c r="L41" i="15"/>
  <c r="K36" i="15"/>
  <c r="L36" i="15"/>
  <c r="G44" i="7"/>
  <c r="G36" i="15"/>
  <c r="K37" i="15"/>
  <c r="L37" i="15"/>
  <c r="K35" i="15"/>
  <c r="L35" i="15"/>
  <c r="G43" i="7"/>
  <c r="G35" i="15"/>
  <c r="K24" i="15"/>
  <c r="L24" i="15"/>
  <c r="K28" i="15"/>
  <c r="L28" i="15"/>
  <c r="K30" i="15"/>
  <c r="L30" i="15"/>
  <c r="K32" i="15"/>
  <c r="L32" i="15"/>
  <c r="K25" i="15"/>
  <c r="L25" i="15"/>
  <c r="K29" i="15"/>
  <c r="L29" i="15"/>
  <c r="J31" i="6"/>
  <c r="I23" i="15"/>
  <c r="J23" i="15" s="1"/>
  <c r="J35" i="6"/>
  <c r="H35" i="7" s="1"/>
  <c r="I27" i="15"/>
  <c r="J27" i="15" s="1"/>
  <c r="J39" i="6"/>
  <c r="H39" i="7" s="1"/>
  <c r="I31" i="15"/>
  <c r="J31" i="15" s="1"/>
  <c r="J41" i="6"/>
  <c r="H41" i="7" s="1"/>
  <c r="I33" i="15"/>
  <c r="J33" i="15" s="1"/>
  <c r="G32" i="7"/>
  <c r="G24" i="15"/>
  <c r="G34" i="7"/>
  <c r="G26" i="15"/>
  <c r="G36" i="7"/>
  <c r="G28" i="15"/>
  <c r="G38" i="7"/>
  <c r="G30" i="15"/>
  <c r="G40" i="7"/>
  <c r="G32" i="15"/>
  <c r="G31" i="7"/>
  <c r="G23" i="15"/>
  <c r="G33" i="7"/>
  <c r="G25" i="15"/>
  <c r="G35" i="7"/>
  <c r="G27" i="15"/>
  <c r="G37" i="7"/>
  <c r="G29" i="15"/>
  <c r="G39" i="7"/>
  <c r="G31" i="15"/>
  <c r="J34" i="6"/>
  <c r="H34" i="7" s="1"/>
  <c r="I26" i="15"/>
  <c r="J26" i="15" s="1"/>
  <c r="G41" i="7"/>
  <c r="G33" i="15"/>
  <c r="G24" i="7"/>
  <c r="G16" i="15"/>
  <c r="L9" i="15"/>
  <c r="B93" i="12"/>
  <c r="K50" i="15"/>
  <c r="L50" i="15"/>
  <c r="K46" i="15"/>
  <c r="L46" i="15"/>
  <c r="G34" i="15"/>
  <c r="B154" i="14"/>
  <c r="K18" i="15"/>
  <c r="L18" i="15"/>
  <c r="L19" i="15"/>
  <c r="K19" i="15"/>
  <c r="C88" i="14"/>
  <c r="G18" i="15"/>
  <c r="G21" i="15"/>
  <c r="B97" i="14"/>
  <c r="B99" i="14"/>
  <c r="I21" i="15"/>
  <c r="J21" i="15" s="1"/>
  <c r="K21" i="15" s="1"/>
  <c r="J25" i="6"/>
  <c r="B140" i="12" s="1"/>
  <c r="C139" i="12" s="1"/>
  <c r="B83" i="14"/>
  <c r="I17" i="15"/>
  <c r="J17" i="15" s="1"/>
  <c r="K17" i="15" s="1"/>
  <c r="G28" i="7"/>
  <c r="C96" i="14"/>
  <c r="G20" i="15"/>
  <c r="G17" i="15"/>
  <c r="C92" i="14"/>
  <c r="G19" i="15"/>
  <c r="G22" i="15"/>
  <c r="B101" i="14"/>
  <c r="J28" i="6"/>
  <c r="I20" i="15"/>
  <c r="J20" i="15" s="1"/>
  <c r="B103" i="14"/>
  <c r="I22" i="15"/>
  <c r="J22" i="15" s="1"/>
  <c r="K22" i="15" s="1"/>
  <c r="K9" i="15"/>
  <c r="G29" i="7"/>
  <c r="B151" i="12"/>
  <c r="G25" i="7"/>
  <c r="B139" i="12"/>
  <c r="G27" i="7"/>
  <c r="B145" i="12"/>
  <c r="G30" i="7"/>
  <c r="B154" i="12"/>
  <c r="H50" i="7"/>
  <c r="B230" i="12"/>
  <c r="C229" i="12" s="1"/>
  <c r="H46" i="7"/>
  <c r="B213" i="12"/>
  <c r="C212" i="12" s="1"/>
  <c r="I64" i="7"/>
  <c r="I47" i="7"/>
  <c r="J40" i="6"/>
  <c r="H40" i="7" s="1"/>
  <c r="J36" i="6"/>
  <c r="H36" i="7" s="1"/>
  <c r="J32" i="6"/>
  <c r="H32" i="7" s="1"/>
  <c r="J44" i="6"/>
  <c r="H44" i="7" s="1"/>
  <c r="G26" i="7"/>
  <c r="B142" i="12"/>
  <c r="G42" i="7"/>
  <c r="B195" i="12"/>
  <c r="H47" i="7"/>
  <c r="B216" i="12"/>
  <c r="C215" i="12" s="1"/>
  <c r="H42" i="7"/>
  <c r="B196" i="12"/>
  <c r="C195" i="12" s="1"/>
  <c r="J38" i="6"/>
  <c r="H38" i="7" s="1"/>
  <c r="I65" i="7"/>
  <c r="I63" i="7"/>
  <c r="I58" i="7"/>
  <c r="I54" i="7"/>
  <c r="I50" i="7"/>
  <c r="I46" i="7"/>
  <c r="J37" i="6"/>
  <c r="H37" i="7" s="1"/>
  <c r="J33" i="6"/>
  <c r="H33" i="7" s="1"/>
  <c r="J29" i="6"/>
  <c r="J30" i="6"/>
  <c r="J26" i="6"/>
  <c r="J27" i="6"/>
  <c r="H31" i="7" l="1"/>
  <c r="B158" i="12"/>
  <c r="H28" i="7"/>
  <c r="B149" i="12"/>
  <c r="K58" i="7"/>
  <c r="K17" i="7"/>
  <c r="C92" i="12"/>
  <c r="K34" i="15"/>
  <c r="M34" i="15" s="1"/>
  <c r="N34" i="15" s="1"/>
  <c r="L38" i="15"/>
  <c r="B172" i="12"/>
  <c r="H67" i="7"/>
  <c r="M38" i="15"/>
  <c r="N38" i="15" s="1"/>
  <c r="M43" i="15"/>
  <c r="N43" i="15" s="1"/>
  <c r="M37" i="15"/>
  <c r="N37" i="15" s="1"/>
  <c r="H25" i="7"/>
  <c r="M41" i="15"/>
  <c r="N41" i="15" s="1"/>
  <c r="M40" i="15"/>
  <c r="N40" i="15" s="1"/>
  <c r="M36" i="15"/>
  <c r="N36" i="15" s="1"/>
  <c r="M35" i="15"/>
  <c r="N35" i="15" s="1"/>
  <c r="M32" i="15"/>
  <c r="N32" i="15" s="1"/>
  <c r="M30" i="15"/>
  <c r="N30" i="15" s="1"/>
  <c r="M29" i="15"/>
  <c r="N29" i="15" s="1"/>
  <c r="M28" i="15"/>
  <c r="N28" i="15" s="1"/>
  <c r="M25" i="15"/>
  <c r="N25" i="15" s="1"/>
  <c r="M24" i="15"/>
  <c r="N24" i="15" s="1"/>
  <c r="M51" i="15"/>
  <c r="N51" i="15" s="1"/>
  <c r="M49" i="15"/>
  <c r="N49" i="15" s="1"/>
  <c r="M53" i="15"/>
  <c r="N53" i="15" s="1"/>
  <c r="M52" i="15"/>
  <c r="N52" i="15" s="1"/>
  <c r="M48" i="15"/>
  <c r="N48" i="15" s="1"/>
  <c r="M47" i="15"/>
  <c r="N47" i="15" s="1"/>
  <c r="M44" i="15"/>
  <c r="N44" i="15" s="1"/>
  <c r="M45" i="15"/>
  <c r="N45" i="15" s="1"/>
  <c r="M19" i="15"/>
  <c r="N19" i="15" s="1"/>
  <c r="K26" i="15"/>
  <c r="L26" i="15"/>
  <c r="K33" i="15"/>
  <c r="L33" i="15"/>
  <c r="K31" i="15"/>
  <c r="L31" i="15"/>
  <c r="K27" i="15"/>
  <c r="L27" i="15"/>
  <c r="L23" i="15"/>
  <c r="K23" i="15"/>
  <c r="M9" i="15"/>
  <c r="K25" i="7"/>
  <c r="M50" i="15"/>
  <c r="N50" i="15" s="1"/>
  <c r="M46" i="15"/>
  <c r="N46" i="15" s="1"/>
  <c r="L22" i="15"/>
  <c r="M22" i="15" s="1"/>
  <c r="N22" i="15" s="1"/>
  <c r="K20" i="15"/>
  <c r="L20" i="15"/>
  <c r="L17" i="15"/>
  <c r="M17" i="15" s="1"/>
  <c r="N17" i="15" s="1"/>
  <c r="L21" i="15"/>
  <c r="M21" i="15" s="1"/>
  <c r="N21" i="15" s="1"/>
  <c r="M18" i="15"/>
  <c r="N18" i="15" s="1"/>
  <c r="H26" i="7"/>
  <c r="B143" i="12"/>
  <c r="C142" i="12" s="1"/>
  <c r="H29" i="7"/>
  <c r="B152" i="12"/>
  <c r="C151" i="12" s="1"/>
  <c r="I26" i="7"/>
  <c r="I30" i="7"/>
  <c r="I27" i="7"/>
  <c r="I25" i="7"/>
  <c r="I29" i="7"/>
  <c r="H27" i="7"/>
  <c r="B146" i="12"/>
  <c r="C145" i="12" s="1"/>
  <c r="H30" i="7"/>
  <c r="B155" i="12"/>
  <c r="C154" i="12" s="1"/>
  <c r="K42" i="7"/>
  <c r="K47" i="7"/>
  <c r="I42" i="7"/>
  <c r="K46" i="7"/>
  <c r="K50" i="7"/>
  <c r="I24" i="6"/>
  <c r="I23" i="6"/>
  <c r="I22" i="6"/>
  <c r="I14" i="15" s="1"/>
  <c r="J14" i="15" s="1"/>
  <c r="I21" i="6"/>
  <c r="G23" i="6"/>
  <c r="G22" i="6"/>
  <c r="G21" i="6"/>
  <c r="G20" i="6"/>
  <c r="C157" i="12" l="1"/>
  <c r="K31" i="7"/>
  <c r="C148" i="12"/>
  <c r="K28" i="7"/>
  <c r="I36" i="7"/>
  <c r="M23" i="15"/>
  <c r="N23" i="15" s="1"/>
  <c r="M27" i="15"/>
  <c r="N27" i="15" s="1"/>
  <c r="M31" i="15"/>
  <c r="N31" i="15" s="1"/>
  <c r="M33" i="15"/>
  <c r="N33" i="15" s="1"/>
  <c r="M26" i="15"/>
  <c r="N26" i="15" s="1"/>
  <c r="G23" i="7"/>
  <c r="G15" i="15"/>
  <c r="K14" i="15"/>
  <c r="L14" i="15"/>
  <c r="J24" i="6"/>
  <c r="H24" i="7" s="1"/>
  <c r="I16" i="15"/>
  <c r="J16" i="15" s="1"/>
  <c r="G22" i="7"/>
  <c r="G14" i="15"/>
  <c r="J23" i="6"/>
  <c r="H23" i="7" s="1"/>
  <c r="I15" i="15"/>
  <c r="J15" i="15" s="1"/>
  <c r="G20" i="7"/>
  <c r="G12" i="15"/>
  <c r="N9" i="15"/>
  <c r="M20" i="15"/>
  <c r="N20" i="15" s="1"/>
  <c r="J21" i="6"/>
  <c r="B110" i="12" s="1"/>
  <c r="C109" i="12" s="1"/>
  <c r="B49" i="14"/>
  <c r="I13" i="15"/>
  <c r="J13" i="15" s="1"/>
  <c r="K13" i="15" s="1"/>
  <c r="G13" i="15"/>
  <c r="B47" i="14"/>
  <c r="K30" i="7"/>
  <c r="K27" i="7"/>
  <c r="K29" i="7"/>
  <c r="K26" i="7"/>
  <c r="G21" i="7"/>
  <c r="B109" i="12"/>
  <c r="J22" i="6"/>
  <c r="H22" i="7" s="1"/>
  <c r="I20" i="6"/>
  <c r="I12" i="15" s="1"/>
  <c r="J12" i="15" s="1"/>
  <c r="I19" i="6"/>
  <c r="I18" i="6"/>
  <c r="G19" i="6"/>
  <c r="G18" i="6"/>
  <c r="H21" i="7" l="1"/>
  <c r="L13" i="15"/>
  <c r="M13" i="15" s="1"/>
  <c r="N13" i="15" s="1"/>
  <c r="K15" i="15"/>
  <c r="L15" i="15"/>
  <c r="L16" i="15"/>
  <c r="K16" i="15"/>
  <c r="M14" i="15"/>
  <c r="N14" i="15" s="1"/>
  <c r="G19" i="7"/>
  <c r="G11" i="15"/>
  <c r="J19" i="6"/>
  <c r="H19" i="7" s="1"/>
  <c r="I11" i="15"/>
  <c r="J11" i="15" s="1"/>
  <c r="K12" i="15"/>
  <c r="L12" i="15"/>
  <c r="K21" i="7"/>
  <c r="C33" i="14"/>
  <c r="G10" i="15"/>
  <c r="J18" i="6"/>
  <c r="I10" i="15"/>
  <c r="J10" i="15" s="1"/>
  <c r="G18" i="7"/>
  <c r="B95" i="12"/>
  <c r="J20" i="6"/>
  <c r="H20" i="7" s="1"/>
  <c r="I21" i="7"/>
  <c r="H17" i="7"/>
  <c r="I3" i="6"/>
  <c r="M15" i="15" l="1"/>
  <c r="N15" i="15" s="1"/>
  <c r="M16" i="15"/>
  <c r="N16" i="15" s="1"/>
  <c r="B96" i="12"/>
  <c r="C95" i="12" s="1"/>
  <c r="J62" i="6"/>
  <c r="J69" i="6" s="1"/>
  <c r="K11" i="15"/>
  <c r="L11" i="15"/>
  <c r="J54" i="15"/>
  <c r="M12" i="15"/>
  <c r="N12" i="15" s="1"/>
  <c r="H18" i="7"/>
  <c r="H62" i="7" s="1"/>
  <c r="H69" i="7" s="1"/>
  <c r="K10" i="15"/>
  <c r="L10" i="15"/>
  <c r="I18" i="7"/>
  <c r="M11" i="15" l="1"/>
  <c r="N11" i="15" s="1"/>
  <c r="K18" i="7"/>
  <c r="M10" i="15"/>
  <c r="B386" i="5"/>
  <c r="M54" i="15" l="1"/>
  <c r="B276" i="14" s="1"/>
  <c r="K62" i="7"/>
  <c r="N10" i="15"/>
  <c r="N54" i="15" s="1"/>
  <c r="B387" i="5"/>
  <c r="C28" i="3"/>
  <c r="F201" i="5"/>
  <c r="F200" i="5"/>
  <c r="F205" i="5"/>
  <c r="F204" i="5"/>
  <c r="F203" i="5"/>
  <c r="F202" i="5"/>
  <c r="F222" i="5"/>
  <c r="M31" i="3" s="1"/>
  <c r="K31" i="3"/>
  <c r="C23" i="3"/>
  <c r="I31" i="3"/>
  <c r="G31" i="3"/>
  <c r="E31" i="3"/>
  <c r="C31" i="3"/>
  <c r="G22" i="3"/>
  <c r="H30" i="3"/>
  <c r="D30" i="3"/>
  <c r="F207" i="5"/>
  <c r="F212" i="5"/>
  <c r="F211" i="5"/>
  <c r="F210" i="5"/>
  <c r="F209" i="5"/>
  <c r="F208" i="5"/>
  <c r="C22" i="3"/>
  <c r="C21" i="3"/>
  <c r="F197" i="5"/>
  <c r="E23" i="3" s="1"/>
  <c r="F194" i="5"/>
  <c r="G21" i="3" s="1"/>
  <c r="E21" i="3"/>
  <c r="C19" i="3"/>
  <c r="K20" i="3"/>
  <c r="G20" i="3"/>
  <c r="C20" i="3"/>
  <c r="I18" i="3"/>
  <c r="F189" i="5"/>
  <c r="E19" i="3" s="1"/>
  <c r="G18" i="3"/>
  <c r="E18" i="3"/>
  <c r="C18" i="3"/>
  <c r="C16" i="3"/>
  <c r="C17" i="3"/>
  <c r="E16" i="3"/>
  <c r="C14" i="3"/>
  <c r="F184" i="5"/>
  <c r="E17" i="3" s="1"/>
  <c r="C15" i="3"/>
  <c r="K14" i="3"/>
  <c r="I14" i="3"/>
  <c r="G14" i="3"/>
  <c r="E14" i="3"/>
  <c r="I12" i="3"/>
  <c r="F181" i="5"/>
  <c r="E15" i="3" s="1"/>
  <c r="C13" i="3"/>
  <c r="C9" i="3"/>
  <c r="G12" i="3"/>
  <c r="C12" i="3"/>
  <c r="M11" i="3"/>
  <c r="K11" i="3"/>
  <c r="I11" i="3"/>
  <c r="E11" i="3"/>
  <c r="C11" i="3"/>
  <c r="M10" i="3"/>
  <c r="K10" i="3"/>
  <c r="I10" i="3"/>
  <c r="G10" i="3"/>
  <c r="E10" i="3"/>
  <c r="C10" i="3"/>
  <c r="C8" i="3"/>
  <c r="F175" i="5"/>
  <c r="E13" i="3" s="1"/>
  <c r="F160" i="5"/>
  <c r="E9" i="3" s="1"/>
  <c r="M8" i="3"/>
  <c r="K8" i="3"/>
  <c r="I8" i="3"/>
  <c r="G8" i="3"/>
  <c r="E8" i="3"/>
  <c r="B7" i="3"/>
  <c r="B277" i="14" l="1"/>
  <c r="K69" i="7"/>
  <c r="E88" i="9" s="1"/>
  <c r="B293" i="12"/>
  <c r="C27" i="3"/>
  <c r="B26" i="3"/>
  <c r="L17" i="2"/>
  <c r="L16" i="2"/>
  <c r="L15" i="2"/>
  <c r="L14" i="2"/>
  <c r="L13" i="2"/>
  <c r="L12" i="2"/>
  <c r="J17" i="2"/>
  <c r="J16" i="2"/>
  <c r="J15" i="2"/>
  <c r="J14" i="2"/>
  <c r="J13" i="2"/>
  <c r="J12" i="2"/>
  <c r="H17" i="2"/>
  <c r="H16" i="2"/>
  <c r="H15" i="2"/>
  <c r="H14" i="2"/>
  <c r="H13" i="2"/>
  <c r="H12" i="2"/>
  <c r="D17" i="2"/>
  <c r="D16" i="2"/>
  <c r="D15" i="2"/>
  <c r="D14" i="2"/>
  <c r="D13" i="2"/>
  <c r="D12" i="2"/>
  <c r="B17" i="2"/>
  <c r="B30" i="2" s="1"/>
  <c r="B16" i="2"/>
  <c r="B15" i="2"/>
  <c r="B14" i="2"/>
  <c r="B13" i="2"/>
  <c r="B12" i="2"/>
  <c r="L11" i="2"/>
  <c r="J11" i="2"/>
  <c r="H11" i="2"/>
  <c r="D11" i="2"/>
  <c r="B11" i="2"/>
  <c r="E43" i="5"/>
  <c r="G50" i="1" s="1"/>
  <c r="A17" i="2" l="1"/>
  <c r="A13" i="2"/>
  <c r="B26" i="2"/>
  <c r="A15" i="2"/>
  <c r="B28" i="2"/>
  <c r="A12" i="2"/>
  <c r="B25" i="2"/>
  <c r="A14" i="2"/>
  <c r="B27" i="2"/>
  <c r="A16" i="2"/>
  <c r="B29" i="2"/>
  <c r="A11" i="2"/>
  <c r="B24" i="2"/>
  <c r="B294" i="12"/>
  <c r="E38" i="1" l="1"/>
  <c r="D40" i="5"/>
  <c r="E296" i="12" l="1"/>
  <c r="B296" i="12" s="1"/>
  <c r="E279" i="14"/>
  <c r="B279" i="14" s="1"/>
  <c r="B278" i="14" s="1"/>
  <c r="E389" i="5"/>
  <c r="B389" i="5" s="1"/>
  <c r="B19" i="19" s="1"/>
  <c r="B20" i="19" s="1"/>
  <c r="B37" i="18" l="1"/>
  <c r="B31" i="18"/>
  <c r="B34" i="18"/>
  <c r="B31" i="17"/>
  <c r="B295" i="12"/>
  <c r="K10" i="7" s="1"/>
  <c r="B388" i="5"/>
  <c r="J10" i="6" s="1"/>
  <c r="K8" i="7"/>
  <c r="J8" i="6"/>
  <c r="E43" i="1" s="1"/>
  <c r="B37" i="17" l="1"/>
  <c r="B34" i="17"/>
  <c r="J12" i="6"/>
  <c r="J71" i="6" s="1"/>
  <c r="H8" i="7"/>
  <c r="K12" i="7"/>
  <c r="K71" i="7" s="1"/>
  <c r="H10" i="7"/>
  <c r="H12" i="7" l="1"/>
  <c r="H71" i="7" s="1"/>
</calcChain>
</file>

<file path=xl/sharedStrings.xml><?xml version="1.0" encoding="utf-8"?>
<sst xmlns="http://schemas.openxmlformats.org/spreadsheetml/2006/main" count="1608" uniqueCount="654">
  <si>
    <t>別記</t>
    <rPh sb="0" eb="2">
      <t>ベッキ</t>
    </rPh>
    <phoneticPr fontId="1"/>
  </si>
  <si>
    <t>第１号様式</t>
    <rPh sb="0" eb="1">
      <t>ダイ</t>
    </rPh>
    <rPh sb="2" eb="3">
      <t>ゴウ</t>
    </rPh>
    <rPh sb="3" eb="5">
      <t>ヨウシキ</t>
    </rPh>
    <phoneticPr fontId="1"/>
  </si>
  <si>
    <t>東京都知事　　殿</t>
    <rPh sb="0" eb="3">
      <t>トウキョウト</t>
    </rPh>
    <rPh sb="3" eb="5">
      <t>チジ</t>
    </rPh>
    <rPh sb="7" eb="8">
      <t>ドノ</t>
    </rPh>
    <phoneticPr fontId="1"/>
  </si>
  <si>
    <t>団体名</t>
    <rPh sb="0" eb="2">
      <t>ダンタイ</t>
    </rPh>
    <rPh sb="2" eb="3">
      <t>メイ</t>
    </rPh>
    <phoneticPr fontId="1"/>
  </si>
  <si>
    <t>記</t>
    <rPh sb="0" eb="1">
      <t>キ</t>
    </rPh>
    <phoneticPr fontId="1"/>
  </si>
  <si>
    <t>令和　　年　　月　　日</t>
    <phoneticPr fontId="1"/>
  </si>
  <si>
    <t>１</t>
    <phoneticPr fontId="1"/>
  </si>
  <si>
    <t>２</t>
    <phoneticPr fontId="1"/>
  </si>
  <si>
    <t>３</t>
    <phoneticPr fontId="1"/>
  </si>
  <si>
    <t>４</t>
    <phoneticPr fontId="1"/>
  </si>
  <si>
    <t>５</t>
    <phoneticPr fontId="1"/>
  </si>
  <si>
    <t>団体名</t>
    <phoneticPr fontId="1"/>
  </si>
  <si>
    <t>所在地等</t>
    <phoneticPr fontId="1"/>
  </si>
  <si>
    <t>電話番号</t>
    <phoneticPr fontId="1"/>
  </si>
  <si>
    <t>印</t>
    <rPh sb="0" eb="1">
      <t>イン</t>
    </rPh>
    <phoneticPr fontId="1"/>
  </si>
  <si>
    <t>おり事業を共同・連携して実施することについて合意します。</t>
    <phoneticPr fontId="1"/>
  </si>
  <si>
    <t>関する事項を委任し、申請団体はこれを承諾します。</t>
    <phoneticPr fontId="1"/>
  </si>
  <si>
    <t>別紙　事業の共同実施・連携実施に係る合意書　兼　委任状</t>
    <phoneticPr fontId="1"/>
  </si>
  <si>
    <t>※申請を行う町会・自治会又は区市町村の担当者に限ります。</t>
    <phoneticPr fontId="1"/>
  </si>
  <si>
    <t>第２号様式</t>
    <rPh sb="0" eb="1">
      <t>ダイ</t>
    </rPh>
    <rPh sb="2" eb="3">
      <t>ゴウ</t>
    </rPh>
    <rPh sb="3" eb="5">
      <t>ヨウシキ</t>
    </rPh>
    <phoneticPr fontId="1"/>
  </si>
  <si>
    <t>概要</t>
    <rPh sb="0" eb="2">
      <t>ガイヨウ</t>
    </rPh>
    <phoneticPr fontId="1"/>
  </si>
  <si>
    <t>防犯</t>
    <rPh sb="0" eb="2">
      <t>ボウハン</t>
    </rPh>
    <phoneticPr fontId="1"/>
  </si>
  <si>
    <t>実施場所</t>
    <rPh sb="0" eb="2">
      <t>ジッシ</t>
    </rPh>
    <rPh sb="2" eb="4">
      <t>バショ</t>
    </rPh>
    <phoneticPr fontId="1"/>
  </si>
  <si>
    <t>祭り</t>
    <rPh sb="0" eb="1">
      <t>マツ</t>
    </rPh>
    <phoneticPr fontId="1"/>
  </si>
  <si>
    <t>盆踊り</t>
    <rPh sb="0" eb="2">
      <t>ボンオド</t>
    </rPh>
    <phoneticPr fontId="1"/>
  </si>
  <si>
    <t>餅つき</t>
    <rPh sb="0" eb="1">
      <t>モチ</t>
    </rPh>
    <phoneticPr fontId="1"/>
  </si>
  <si>
    <t>運動会</t>
    <rPh sb="0" eb="3">
      <t>ウンドウカイ</t>
    </rPh>
    <phoneticPr fontId="1"/>
  </si>
  <si>
    <t>文化祭</t>
    <rPh sb="0" eb="3">
      <t>ブンカサイ</t>
    </rPh>
    <phoneticPr fontId="1"/>
  </si>
  <si>
    <t>加入促進</t>
    <rPh sb="0" eb="2">
      <t>カニュウ</t>
    </rPh>
    <rPh sb="2" eb="4">
      <t>ソクシン</t>
    </rPh>
    <phoneticPr fontId="1"/>
  </si>
  <si>
    <t>子ども・若者</t>
    <rPh sb="0" eb="1">
      <t>コ</t>
    </rPh>
    <rPh sb="4" eb="6">
      <t>ワカモノ</t>
    </rPh>
    <phoneticPr fontId="1"/>
  </si>
  <si>
    <t>育成支援</t>
    <phoneticPr fontId="1"/>
  </si>
  <si>
    <t>多文化共生</t>
    <rPh sb="0" eb="3">
      <t>タブンカ</t>
    </rPh>
    <rPh sb="3" eb="5">
      <t>キョウセイ</t>
    </rPh>
    <phoneticPr fontId="1"/>
  </si>
  <si>
    <t>デジタル</t>
    <phoneticPr fontId="1"/>
  </si>
  <si>
    <t>活用支援</t>
    <phoneticPr fontId="1"/>
  </si>
  <si>
    <t>地域の</t>
    <rPh sb="0" eb="2">
      <t>チイキ</t>
    </rPh>
    <phoneticPr fontId="1"/>
  </si>
  <si>
    <t>課題解決</t>
    <phoneticPr fontId="1"/>
  </si>
  <si>
    <t>防災</t>
    <rPh sb="0" eb="2">
      <t>ボウサイ</t>
    </rPh>
    <phoneticPr fontId="1"/>
  </si>
  <si>
    <t>節電</t>
    <phoneticPr fontId="1"/>
  </si>
  <si>
    <t>高齢者等</t>
    <rPh sb="0" eb="3">
      <t>コウレイシャ</t>
    </rPh>
    <rPh sb="3" eb="4">
      <t>トウ</t>
    </rPh>
    <phoneticPr fontId="1"/>
  </si>
  <si>
    <t>見守り</t>
    <phoneticPr fontId="1"/>
  </si>
  <si>
    <t>その他</t>
    <rPh sb="2" eb="3">
      <t>タ</t>
    </rPh>
    <phoneticPr fontId="1"/>
  </si>
  <si>
    <t>避難訓練</t>
    <rPh sb="0" eb="2">
      <t>ヒナン</t>
    </rPh>
    <rPh sb="2" eb="4">
      <t>クンレン</t>
    </rPh>
    <phoneticPr fontId="1"/>
  </si>
  <si>
    <t>消火訓練</t>
    <rPh sb="0" eb="2">
      <t>ショウカ</t>
    </rPh>
    <rPh sb="2" eb="4">
      <t>クンレン</t>
    </rPh>
    <phoneticPr fontId="1"/>
  </si>
  <si>
    <t>炊き出し訓練</t>
    <rPh sb="0" eb="1">
      <t>タ</t>
    </rPh>
    <rPh sb="2" eb="3">
      <t>ダ</t>
    </rPh>
    <rPh sb="4" eb="6">
      <t>クンレン</t>
    </rPh>
    <phoneticPr fontId="1"/>
  </si>
  <si>
    <t>応急救護訓練</t>
    <rPh sb="0" eb="2">
      <t>オウキュウ</t>
    </rPh>
    <rPh sb="2" eb="4">
      <t>キュウゴ</t>
    </rPh>
    <rPh sb="4" eb="6">
      <t>クンレン</t>
    </rPh>
    <phoneticPr fontId="1"/>
  </si>
  <si>
    <t>通信訓練</t>
    <rPh sb="0" eb="2">
      <t>ツウシン</t>
    </rPh>
    <rPh sb="2" eb="4">
      <t>クンレン</t>
    </rPh>
    <phoneticPr fontId="1"/>
  </si>
  <si>
    <t>安否確認訓練</t>
    <rPh sb="0" eb="2">
      <t>アンピ</t>
    </rPh>
    <rPh sb="2" eb="4">
      <t>カクニン</t>
    </rPh>
    <rPh sb="4" eb="6">
      <t>クンレン</t>
    </rPh>
    <phoneticPr fontId="1"/>
  </si>
  <si>
    <t>名簿作成</t>
    <rPh sb="0" eb="2">
      <t>メイボ</t>
    </rPh>
    <rPh sb="2" eb="4">
      <t>サクセイ</t>
    </rPh>
    <phoneticPr fontId="1"/>
  </si>
  <si>
    <t>防災マニュアル作成</t>
    <rPh sb="0" eb="2">
      <t>ボウサイ</t>
    </rPh>
    <rPh sb="7" eb="9">
      <t>サクセイ</t>
    </rPh>
    <phoneticPr fontId="1"/>
  </si>
  <si>
    <t>普及啓発チラシ配布</t>
    <rPh sb="0" eb="4">
      <t>フキュウケイハツ</t>
    </rPh>
    <rPh sb="7" eb="9">
      <t>ハイフ</t>
    </rPh>
    <phoneticPr fontId="1"/>
  </si>
  <si>
    <t>活躍の場づくり</t>
    <rPh sb="0" eb="2">
      <t>カツヤク</t>
    </rPh>
    <rPh sb="3" eb="4">
      <t>バ</t>
    </rPh>
    <phoneticPr fontId="1"/>
  </si>
  <si>
    <t>交通安全</t>
    <rPh sb="0" eb="2">
      <t>コウツウ</t>
    </rPh>
    <rPh sb="2" eb="4">
      <t>アンゼン</t>
    </rPh>
    <phoneticPr fontId="1"/>
  </si>
  <si>
    <t>自然体験</t>
    <rPh sb="0" eb="2">
      <t>シゼン</t>
    </rPh>
    <rPh sb="2" eb="4">
      <t>タイケン</t>
    </rPh>
    <phoneticPr fontId="1"/>
  </si>
  <si>
    <t>しごと体験</t>
    <rPh sb="3" eb="5">
      <t>タイケン</t>
    </rPh>
    <phoneticPr fontId="1"/>
  </si>
  <si>
    <t>伝統文化の継承</t>
    <rPh sb="0" eb="2">
      <t>デントウ</t>
    </rPh>
    <rPh sb="2" eb="4">
      <t>ブンカ</t>
    </rPh>
    <rPh sb="5" eb="7">
      <t>ケイショウ</t>
    </rPh>
    <phoneticPr fontId="1"/>
  </si>
  <si>
    <t>見守り訪問</t>
    <rPh sb="0" eb="2">
      <t>ミマモ</t>
    </rPh>
    <rPh sb="3" eb="5">
      <t>ホウモン</t>
    </rPh>
    <phoneticPr fontId="1"/>
  </si>
  <si>
    <t>多世代交流サロン</t>
    <rPh sb="0" eb="1">
      <t>タ</t>
    </rPh>
    <rPh sb="1" eb="3">
      <t>セダイ</t>
    </rPh>
    <rPh sb="3" eb="5">
      <t>コウリュウ</t>
    </rPh>
    <phoneticPr fontId="1"/>
  </si>
  <si>
    <t>防犯パトロール</t>
    <rPh sb="0" eb="2">
      <t>ボウハン</t>
    </rPh>
    <phoneticPr fontId="1"/>
  </si>
  <si>
    <t>防犯講習会</t>
    <rPh sb="0" eb="2">
      <t>ボウハン</t>
    </rPh>
    <rPh sb="2" eb="5">
      <t>コウシュウカイ</t>
    </rPh>
    <phoneticPr fontId="1"/>
  </si>
  <si>
    <t>防犯マップ作成</t>
    <rPh sb="0" eb="2">
      <t>ボウハン</t>
    </rPh>
    <rPh sb="5" eb="7">
      <t>サクセイ</t>
    </rPh>
    <phoneticPr fontId="1"/>
  </si>
  <si>
    <t>振り込め詐欺防止</t>
    <rPh sb="0" eb="1">
      <t>フ</t>
    </rPh>
    <rPh sb="2" eb="3">
      <t>コ</t>
    </rPh>
    <rPh sb="4" eb="6">
      <t>サギ</t>
    </rPh>
    <rPh sb="6" eb="8">
      <t>ボウシ</t>
    </rPh>
    <phoneticPr fontId="1"/>
  </si>
  <si>
    <t>理解促進チラシ等配布</t>
    <rPh sb="0" eb="2">
      <t>リカイ</t>
    </rPh>
    <rPh sb="2" eb="4">
      <t>ソクシン</t>
    </rPh>
    <rPh sb="7" eb="8">
      <t>トウ</t>
    </rPh>
    <rPh sb="8" eb="10">
      <t>ハイフ</t>
    </rPh>
    <phoneticPr fontId="1"/>
  </si>
  <si>
    <t>事業周知物の多言語化</t>
    <rPh sb="0" eb="2">
      <t>ジギョウ</t>
    </rPh>
    <rPh sb="2" eb="4">
      <t>シュウチ</t>
    </rPh>
    <rPh sb="4" eb="5">
      <t>ブツ</t>
    </rPh>
    <rPh sb="6" eb="10">
      <t>タゲンゴカ</t>
    </rPh>
    <phoneticPr fontId="1"/>
  </si>
  <si>
    <t>やさしい日本語による周知物</t>
    <rPh sb="4" eb="7">
      <t>ニホンゴ</t>
    </rPh>
    <rPh sb="10" eb="12">
      <t>シュウチ</t>
    </rPh>
    <rPh sb="12" eb="13">
      <t>ブツ</t>
    </rPh>
    <phoneticPr fontId="1"/>
  </si>
  <si>
    <t>デジタル活用講習会</t>
    <rPh sb="4" eb="6">
      <t>カツヨウ</t>
    </rPh>
    <rPh sb="6" eb="9">
      <t>コウシュウカイ</t>
    </rPh>
    <phoneticPr fontId="1"/>
  </si>
  <si>
    <t>オンライン配信</t>
    <rPh sb="5" eb="7">
      <t>ハイシン</t>
    </rPh>
    <phoneticPr fontId="1"/>
  </si>
  <si>
    <t>名</t>
    <rPh sb="0" eb="1">
      <t>メイ</t>
    </rPh>
    <phoneticPr fontId="1"/>
  </si>
  <si>
    <t>回</t>
    <rPh sb="0" eb="1">
      <t>カイ</t>
    </rPh>
    <phoneticPr fontId="1"/>
  </si>
  <si>
    <t>※初回打合せ、反省会を含みます。</t>
    <rPh sb="1" eb="5">
      <t>ショカイウチアワ</t>
    </rPh>
    <rPh sb="7" eb="9">
      <t>ハンセイ</t>
    </rPh>
    <rPh sb="9" eb="10">
      <t>カイ</t>
    </rPh>
    <rPh sb="11" eb="12">
      <t>フク</t>
    </rPh>
    <phoneticPr fontId="1"/>
  </si>
  <si>
    <t>広報</t>
    <rPh sb="0" eb="2">
      <t>コウホウ</t>
    </rPh>
    <phoneticPr fontId="1"/>
  </si>
  <si>
    <t>開始予定時期</t>
    <rPh sb="0" eb="2">
      <t>カイシ</t>
    </rPh>
    <rPh sb="2" eb="4">
      <t>ヨテイ</t>
    </rPh>
    <rPh sb="4" eb="6">
      <t>ジキ</t>
    </rPh>
    <phoneticPr fontId="1"/>
  </si>
  <si>
    <t>（雨天の場合）</t>
    <rPh sb="1" eb="3">
      <t>ウテン</t>
    </rPh>
    <rPh sb="4" eb="6">
      <t>バアイ</t>
    </rPh>
    <phoneticPr fontId="1"/>
  </si>
  <si>
    <t>反省会実施日</t>
    <rPh sb="0" eb="2">
      <t>ハンセイ</t>
    </rPh>
    <rPh sb="2" eb="3">
      <t>カイ</t>
    </rPh>
    <rPh sb="3" eb="5">
      <t>ジッシ</t>
    </rPh>
    <rPh sb="5" eb="6">
      <t>ビ</t>
    </rPh>
    <phoneticPr fontId="1"/>
  </si>
  <si>
    <t>計</t>
    <rPh sb="0" eb="1">
      <t>ケイ</t>
    </rPh>
    <phoneticPr fontId="1"/>
  </si>
  <si>
    <t>実施方法</t>
    <rPh sb="0" eb="2">
      <t>ジッシ</t>
    </rPh>
    <rPh sb="2" eb="4">
      <t>ホウホウ</t>
    </rPh>
    <phoneticPr fontId="1"/>
  </si>
  <si>
    <t>ポスター</t>
    <phoneticPr fontId="1"/>
  </si>
  <si>
    <t>チラシ</t>
    <phoneticPr fontId="1"/>
  </si>
  <si>
    <t>回覧板</t>
    <rPh sb="0" eb="3">
      <t>カイランバン</t>
    </rPh>
    <phoneticPr fontId="1"/>
  </si>
  <si>
    <t>実施予定日</t>
    <rPh sb="0" eb="2">
      <t>ジッシ</t>
    </rPh>
    <rPh sb="2" eb="4">
      <t>ヨテイ</t>
    </rPh>
    <rPh sb="4" eb="5">
      <t>ビ</t>
    </rPh>
    <phoneticPr fontId="1"/>
  </si>
  <si>
    <t>社会づくり</t>
    <phoneticPr fontId="1"/>
  </si>
  <si>
    <t>打合せ回数</t>
    <rPh sb="0" eb="2">
      <t>ウチアワ</t>
    </rPh>
    <rPh sb="3" eb="5">
      <t>カイスウ</t>
    </rPh>
    <phoneticPr fontId="1"/>
  </si>
  <si>
    <t>実施上の
工夫</t>
    <rPh sb="0" eb="2">
      <t>ジッシ</t>
    </rPh>
    <rPh sb="2" eb="3">
      <t>ジョウ</t>
    </rPh>
    <rPh sb="5" eb="7">
      <t>クフウ</t>
    </rPh>
    <phoneticPr fontId="1"/>
  </si>
  <si>
    <t>実施
日程等</t>
    <rPh sb="0" eb="2">
      <t>ジッシ</t>
    </rPh>
    <rPh sb="3" eb="5">
      <t>ニッテイ</t>
    </rPh>
    <rPh sb="5" eb="6">
      <t>トウ</t>
    </rPh>
    <phoneticPr fontId="1"/>
  </si>
  <si>
    <t>国際交流</t>
    <phoneticPr fontId="1"/>
  </si>
  <si>
    <t>ＡＥＤ訓練</t>
    <phoneticPr fontId="1"/>
  </si>
  <si>
    <t>防災講習会</t>
    <phoneticPr fontId="1"/>
  </si>
  <si>
    <t>防災マップ作成</t>
    <phoneticPr fontId="1"/>
  </si>
  <si>
    <t>初回打合せ日</t>
    <rPh sb="0" eb="2">
      <t>ショカイ</t>
    </rPh>
    <rPh sb="2" eb="4">
      <t>ウチアワ</t>
    </rPh>
    <rPh sb="5" eb="6">
      <t>ビ</t>
    </rPh>
    <phoneticPr fontId="1"/>
  </si>
  <si>
    <t>HP・SNS</t>
    <phoneticPr fontId="1"/>
  </si>
  <si>
    <t>代表者役職</t>
    <rPh sb="0" eb="2">
      <t>ダイヒョウ</t>
    </rPh>
    <rPh sb="2" eb="3">
      <t>シャ</t>
    </rPh>
    <rPh sb="3" eb="5">
      <t>ヤクショク</t>
    </rPh>
    <phoneticPr fontId="1"/>
  </si>
  <si>
    <t>代表者氏名</t>
    <rPh sb="0" eb="2">
      <t>ダイヒョウ</t>
    </rPh>
    <rPh sb="2" eb="3">
      <t>シャ</t>
    </rPh>
    <rPh sb="3" eb="5">
      <t>シメイ</t>
    </rPh>
    <phoneticPr fontId="1"/>
  </si>
  <si>
    <t>連絡責任者氏名</t>
    <rPh sb="0" eb="2">
      <t>レンラク</t>
    </rPh>
    <rPh sb="2" eb="4">
      <t>セキニン</t>
    </rPh>
    <rPh sb="4" eb="5">
      <t>シャ</t>
    </rPh>
    <rPh sb="5" eb="7">
      <t>シメイ</t>
    </rPh>
    <phoneticPr fontId="1"/>
  </si>
  <si>
    <t>今まで交付決定を受けたことがありますか</t>
    <rPh sb="0" eb="1">
      <t>イマ</t>
    </rPh>
    <rPh sb="3" eb="5">
      <t>コウフ</t>
    </rPh>
    <rPh sb="5" eb="7">
      <t>ケッテイ</t>
    </rPh>
    <rPh sb="8" eb="9">
      <t>ウ</t>
    </rPh>
    <phoneticPr fontId="1"/>
  </si>
  <si>
    <t>ある</t>
    <phoneticPr fontId="1"/>
  </si>
  <si>
    <t>会員世帯数の時点（年＜和暦＞）</t>
    <rPh sb="0" eb="5">
      <t>カイインセタイスウ</t>
    </rPh>
    <rPh sb="6" eb="8">
      <t>ジテン</t>
    </rPh>
    <rPh sb="9" eb="10">
      <t>ネン</t>
    </rPh>
    <rPh sb="11" eb="13">
      <t>ワレキ</t>
    </rPh>
    <phoneticPr fontId="1"/>
  </si>
  <si>
    <t>会員世帯数の時点（月末）</t>
    <rPh sb="0" eb="5">
      <t>カイインセタイスウ</t>
    </rPh>
    <rPh sb="6" eb="8">
      <t>ジテン</t>
    </rPh>
    <rPh sb="9" eb="10">
      <t>ゲツ</t>
    </rPh>
    <rPh sb="10" eb="11">
      <t>マツ</t>
    </rPh>
    <phoneticPr fontId="1"/>
  </si>
  <si>
    <t>ー</t>
    <phoneticPr fontId="1"/>
  </si>
  <si>
    <t>←入力フォームから自動転記されます</t>
    <rPh sb="1" eb="3">
      <t>ニュウリョク</t>
    </rPh>
    <rPh sb="9" eb="11">
      <t>ジドウ</t>
    </rPh>
    <rPh sb="11" eb="13">
      <t>テンキ</t>
    </rPh>
    <phoneticPr fontId="1"/>
  </si>
  <si>
    <t>←プルダウンリストから選んでください</t>
    <rPh sb="11" eb="12">
      <t>エラ</t>
    </rPh>
    <phoneticPr fontId="1"/>
  </si>
  <si>
    <t>←氏名以外入力フォームから自動転記されます</t>
    <rPh sb="1" eb="3">
      <t>シメイ</t>
    </rPh>
    <rPh sb="3" eb="5">
      <t>イガイ</t>
    </rPh>
    <rPh sb="5" eb="7">
      <t>ニュウリョク</t>
    </rPh>
    <rPh sb="13" eb="17">
      <t>ジドウテンキ</t>
    </rPh>
    <phoneticPr fontId="1"/>
  </si>
  <si>
    <t>連絡責任者役職（申請を行う町会・自治会又は区市町村の担当者に限ります。）</t>
    <rPh sb="0" eb="2">
      <t>レンラク</t>
    </rPh>
    <rPh sb="2" eb="4">
      <t>セキニン</t>
    </rPh>
    <rPh sb="4" eb="5">
      <t>シャ</t>
    </rPh>
    <rPh sb="5" eb="7">
      <t>ヤクショク</t>
    </rPh>
    <rPh sb="19" eb="20">
      <t>マタ</t>
    </rPh>
    <phoneticPr fontId="1"/>
  </si>
  <si>
    <t>年</t>
    <rPh sb="0" eb="1">
      <t>ネン</t>
    </rPh>
    <phoneticPr fontId="1"/>
  </si>
  <si>
    <t>月</t>
    <rPh sb="0" eb="1">
      <t>ガツ</t>
    </rPh>
    <phoneticPr fontId="1"/>
  </si>
  <si>
    <t>旬</t>
    <rPh sb="0" eb="1">
      <t>ジュン</t>
    </rPh>
    <phoneticPr fontId="1"/>
  </si>
  <si>
    <t>事業の名称</t>
    <rPh sb="0" eb="2">
      <t>ジギョウ</t>
    </rPh>
    <rPh sb="3" eb="5">
      <t>メイショウ</t>
    </rPh>
    <phoneticPr fontId="1"/>
  </si>
  <si>
    <t>←日中連絡の取れる担当者としてください</t>
    <rPh sb="1" eb="3">
      <t>ニッチュウ</t>
    </rPh>
    <rPh sb="3" eb="5">
      <t>レンラク</t>
    </rPh>
    <rPh sb="6" eb="7">
      <t>ト</t>
    </rPh>
    <rPh sb="9" eb="12">
      <t>タントウシャ</t>
    </rPh>
    <phoneticPr fontId="1"/>
  </si>
  <si>
    <t>←会則・規約で定められた正式な名称</t>
    <phoneticPr fontId="1"/>
  </si>
  <si>
    <t>←会則・規約上の事務所等の所在地。定めがない場合は会長宅の住所</t>
    <phoneticPr fontId="1"/>
  </si>
  <si>
    <t>煙体験</t>
    <rPh sb="0" eb="1">
      <t>ケムリ</t>
    </rPh>
    <rPh sb="1" eb="3">
      <t>タイケン</t>
    </rPh>
    <phoneticPr fontId="1"/>
  </si>
  <si>
    <t>仮設トイレ設置訓練</t>
    <rPh sb="0" eb="2">
      <t>カセツ</t>
    </rPh>
    <rPh sb="5" eb="9">
      <t>セッチクンレン</t>
    </rPh>
    <phoneticPr fontId="1"/>
  </si>
  <si>
    <t>その他</t>
    <rPh sb="2" eb="3">
      <t>タ</t>
    </rPh>
    <phoneticPr fontId="1"/>
  </si>
  <si>
    <t>参加予定人数</t>
    <rPh sb="0" eb="2">
      <t>サンカ</t>
    </rPh>
    <rPh sb="2" eb="4">
      <t>ヨテイ</t>
    </rPh>
    <rPh sb="4" eb="6">
      <t>ニンズウ</t>
    </rPh>
    <phoneticPr fontId="1"/>
  </si>
  <si>
    <t>実施予定日１</t>
    <rPh sb="0" eb="2">
      <t>ジッシ</t>
    </rPh>
    <rPh sb="2" eb="4">
      <t>ヨテイ</t>
    </rPh>
    <rPh sb="4" eb="5">
      <t>ビ</t>
    </rPh>
    <phoneticPr fontId="1"/>
  </si>
  <si>
    <t>雨天の場合</t>
    <rPh sb="0" eb="2">
      <t>ウテン</t>
    </rPh>
    <rPh sb="3" eb="5">
      <t>バアイ</t>
    </rPh>
    <phoneticPr fontId="1"/>
  </si>
  <si>
    <t>初回打合せ日</t>
    <rPh sb="0" eb="2">
      <t>ショカイ</t>
    </rPh>
    <rPh sb="2" eb="4">
      <t>ウチアワ</t>
    </rPh>
    <rPh sb="5" eb="6">
      <t>ビ</t>
    </rPh>
    <phoneticPr fontId="1"/>
  </si>
  <si>
    <t>反省会実施日</t>
    <rPh sb="0" eb="2">
      <t>ハンセイ</t>
    </rPh>
    <rPh sb="2" eb="3">
      <t>カイ</t>
    </rPh>
    <rPh sb="3" eb="5">
      <t>ジッシ</t>
    </rPh>
    <rPh sb="5" eb="6">
      <t>ビ</t>
    </rPh>
    <phoneticPr fontId="1"/>
  </si>
  <si>
    <t>広報（ポスター）</t>
    <rPh sb="0" eb="2">
      <t>コウホウ</t>
    </rPh>
    <phoneticPr fontId="1"/>
  </si>
  <si>
    <t>広報（チラシ）</t>
    <rPh sb="0" eb="2">
      <t>コウホウ</t>
    </rPh>
    <phoneticPr fontId="1"/>
  </si>
  <si>
    <t>広報（回覧板）</t>
    <rPh sb="0" eb="2">
      <t>コウホウ</t>
    </rPh>
    <rPh sb="3" eb="6">
      <t>カイランバン</t>
    </rPh>
    <phoneticPr fontId="1"/>
  </si>
  <si>
    <t>広報（HP・SNS）</t>
    <rPh sb="0" eb="2">
      <t>コウホウ</t>
    </rPh>
    <phoneticPr fontId="1"/>
  </si>
  <si>
    <t>広報（その他）</t>
    <rPh sb="0" eb="2">
      <t>コウホウ</t>
    </rPh>
    <rPh sb="5" eb="6">
      <t>タ</t>
    </rPh>
    <phoneticPr fontId="1"/>
  </si>
  <si>
    <t>約</t>
    <rPh sb="0" eb="1">
      <t>ヤク</t>
    </rPh>
    <phoneticPr fontId="1"/>
  </si>
  <si>
    <t>名</t>
    <rPh sb="0" eb="1">
      <t>メイ</t>
    </rPh>
    <phoneticPr fontId="1"/>
  </si>
  <si>
    <t>←灰色のセルは共同実施団体・連携実施団体名１を入力すると表示されます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</si>
  <si>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←灰色のセルは共同実施団体・連携実施団体名２を入力すると表示されます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</si>
  <si>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←灰色のセルは共同実施団体・連携実施団体名３を入力すると表示されます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</si>
  <si>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←灰色のセルは共同実施団体・連携実施団体名４を入力すると表示されます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</si>
  <si>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←灰色のセルは共同実施団体・連携実施団体名５を入力すると表示されます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</si>
  <si>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←灰色のセルは共同実施団体・連携実施団体名６を入力すると表示されます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</si>
  <si>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第３号様式</t>
    <rPh sb="0" eb="1">
      <t>ダイ</t>
    </rPh>
    <rPh sb="2" eb="3">
      <t>ゴウ</t>
    </rPh>
    <rPh sb="3" eb="5">
      <t>ヨウシキ</t>
    </rPh>
    <phoneticPr fontId="17"/>
  </si>
  <si>
    <t>収支予算書</t>
    <rPh sb="0" eb="1">
      <t>オサム</t>
    </rPh>
    <rPh sb="1" eb="2">
      <t>ササ</t>
    </rPh>
    <rPh sb="2" eb="3">
      <t>ヨ</t>
    </rPh>
    <rPh sb="3" eb="4">
      <t>ザン</t>
    </rPh>
    <rPh sb="4" eb="5">
      <t>ショ</t>
    </rPh>
    <phoneticPr fontId="17"/>
  </si>
  <si>
    <t>団体名</t>
    <rPh sb="0" eb="2">
      <t>ダンタイ</t>
    </rPh>
    <rPh sb="2" eb="3">
      <t>メイ</t>
    </rPh>
    <phoneticPr fontId="17"/>
  </si>
  <si>
    <t>(単位：円）</t>
    <rPh sb="1" eb="3">
      <t>タンイ</t>
    </rPh>
    <rPh sb="4" eb="5">
      <t>エン</t>
    </rPh>
    <phoneticPr fontId="17"/>
  </si>
  <si>
    <t>科　　　　　目</t>
    <rPh sb="0" eb="1">
      <t>カ</t>
    </rPh>
    <rPh sb="6" eb="7">
      <t>メ</t>
    </rPh>
    <phoneticPr fontId="17"/>
  </si>
  <si>
    <t>収入内容</t>
    <rPh sb="0" eb="2">
      <t>シュウニュウ</t>
    </rPh>
    <rPh sb="2" eb="4">
      <t>ナイヨウ</t>
    </rPh>
    <phoneticPr fontId="17"/>
  </si>
  <si>
    <t>金額</t>
    <rPh sb="0" eb="2">
      <t>キンガク</t>
    </rPh>
    <phoneticPr fontId="17"/>
  </si>
  <si>
    <t>Ⅰ　収入の部</t>
    <rPh sb="2" eb="4">
      <t>シュウニュウ</t>
    </rPh>
    <rPh sb="5" eb="6">
      <t>ブ</t>
    </rPh>
    <phoneticPr fontId="17"/>
  </si>
  <si>
    <r>
      <t>助成金収入</t>
    </r>
    <r>
      <rPr>
        <sz val="9"/>
        <rFont val="ＭＳ Ｐゴシック"/>
        <family val="3"/>
        <charset val="128"/>
      </rPr>
      <t/>
    </r>
    <rPh sb="0" eb="3">
      <t>ジョセイキン</t>
    </rPh>
    <rPh sb="3" eb="5">
      <t>シュウニュウ</t>
    </rPh>
    <phoneticPr fontId="17"/>
  </si>
  <si>
    <t>地域の底力発展事業助成金</t>
    <rPh sb="0" eb="2">
      <t>チイキ</t>
    </rPh>
    <rPh sb="3" eb="5">
      <t>ソコヂカラ</t>
    </rPh>
    <rPh sb="5" eb="7">
      <t>ハッテン</t>
    </rPh>
    <rPh sb="7" eb="9">
      <t>ジギョウ</t>
    </rPh>
    <rPh sb="9" eb="11">
      <t>ジョセイ</t>
    </rPh>
    <rPh sb="11" eb="12">
      <t>キン</t>
    </rPh>
    <phoneticPr fontId="17"/>
  </si>
  <si>
    <t>（1,000円未満切捨て）</t>
    <rPh sb="6" eb="7">
      <t>エン</t>
    </rPh>
    <rPh sb="7" eb="9">
      <t>ミマン</t>
    </rPh>
    <rPh sb="9" eb="11">
      <t>キリス</t>
    </rPh>
    <phoneticPr fontId="17"/>
  </si>
  <si>
    <t>その他収入</t>
    <rPh sb="2" eb="3">
      <t>タ</t>
    </rPh>
    <rPh sb="3" eb="5">
      <t>シュウニュウ</t>
    </rPh>
    <phoneticPr fontId="17"/>
  </si>
  <si>
    <t>自己資金</t>
    <rPh sb="0" eb="2">
      <t>ジコ</t>
    </rPh>
    <rPh sb="2" eb="4">
      <t>シキン</t>
    </rPh>
    <phoneticPr fontId="17"/>
  </si>
  <si>
    <t>収入合計</t>
    <rPh sb="0" eb="2">
      <t>シュウニュウ</t>
    </rPh>
    <rPh sb="2" eb="4">
      <t>ゴウケイ</t>
    </rPh>
    <phoneticPr fontId="17"/>
  </si>
  <si>
    <t>科　　　　目</t>
    <rPh sb="0" eb="1">
      <t>カ</t>
    </rPh>
    <rPh sb="5" eb="6">
      <t>メ</t>
    </rPh>
    <phoneticPr fontId="17"/>
  </si>
  <si>
    <t>支出内容</t>
    <rPh sb="0" eb="2">
      <t>シシュツ</t>
    </rPh>
    <rPh sb="2" eb="4">
      <t>ナイヨウ</t>
    </rPh>
    <phoneticPr fontId="17"/>
  </si>
  <si>
    <t>数量</t>
    <rPh sb="0" eb="2">
      <t>スウリョウ</t>
    </rPh>
    <phoneticPr fontId="17"/>
  </si>
  <si>
    <t>Ⅱ　支出の部</t>
    <rPh sb="2" eb="4">
      <t>シシュツ</t>
    </rPh>
    <rPh sb="5" eb="6">
      <t>ブ</t>
    </rPh>
    <phoneticPr fontId="17"/>
  </si>
  <si>
    <t>１　助成対象経費</t>
    <rPh sb="2" eb="6">
      <t>ジョセイタイショウ</t>
    </rPh>
    <rPh sb="6" eb="8">
      <t>ケイヒ</t>
    </rPh>
    <phoneticPr fontId="17"/>
  </si>
  <si>
    <t>（1）</t>
    <phoneticPr fontId="17"/>
  </si>
  <si>
    <t>謝礼金</t>
    <rPh sb="0" eb="3">
      <t>シャレイキン</t>
    </rPh>
    <phoneticPr fontId="17"/>
  </si>
  <si>
    <t>（2）</t>
    <phoneticPr fontId="17"/>
  </si>
  <si>
    <t>打合せ経費</t>
    <rPh sb="0" eb="2">
      <t>ウチアワ</t>
    </rPh>
    <rPh sb="3" eb="5">
      <t>ケイヒ</t>
    </rPh>
    <phoneticPr fontId="17"/>
  </si>
  <si>
    <t>（3）</t>
    <phoneticPr fontId="17"/>
  </si>
  <si>
    <t>物品購入費</t>
    <rPh sb="0" eb="2">
      <t>ブッピン</t>
    </rPh>
    <rPh sb="2" eb="5">
      <t>コウニュウヒ</t>
    </rPh>
    <phoneticPr fontId="17"/>
  </si>
  <si>
    <t>（4）</t>
    <phoneticPr fontId="17"/>
  </si>
  <si>
    <t>印刷経費</t>
    <rPh sb="0" eb="2">
      <t>インサツ</t>
    </rPh>
    <rPh sb="2" eb="4">
      <t>ケイヒ</t>
    </rPh>
    <phoneticPr fontId="17"/>
  </si>
  <si>
    <t>（5）</t>
    <phoneticPr fontId="17"/>
  </si>
  <si>
    <t>役務費</t>
    <rPh sb="0" eb="2">
      <t>エキム</t>
    </rPh>
    <rPh sb="2" eb="3">
      <t>ヒ</t>
    </rPh>
    <phoneticPr fontId="17"/>
  </si>
  <si>
    <t>（6）</t>
    <phoneticPr fontId="17"/>
  </si>
  <si>
    <t>委託料</t>
    <rPh sb="0" eb="2">
      <t>イタク</t>
    </rPh>
    <rPh sb="2" eb="3">
      <t>リョウ</t>
    </rPh>
    <phoneticPr fontId="17"/>
  </si>
  <si>
    <t>（7）</t>
    <phoneticPr fontId="17"/>
  </si>
  <si>
    <t>レンタル・</t>
    <phoneticPr fontId="17"/>
  </si>
  <si>
    <t>リース料</t>
    <rPh sb="3" eb="4">
      <t>リョウ</t>
    </rPh>
    <phoneticPr fontId="17"/>
  </si>
  <si>
    <t>（8）</t>
    <phoneticPr fontId="17"/>
  </si>
  <si>
    <t>工事費</t>
    <rPh sb="0" eb="3">
      <t>コウジヒ</t>
    </rPh>
    <phoneticPr fontId="17"/>
  </si>
  <si>
    <t>小計①</t>
    <rPh sb="0" eb="2">
      <t>ショウケイ</t>
    </rPh>
    <phoneticPr fontId="17"/>
  </si>
  <si>
    <t>２　助成対象外経費</t>
    <rPh sb="2" eb="4">
      <t>ジョセイ</t>
    </rPh>
    <rPh sb="4" eb="7">
      <t>タイショウガイ</t>
    </rPh>
    <rPh sb="7" eb="9">
      <t>ケイヒ</t>
    </rPh>
    <phoneticPr fontId="17"/>
  </si>
  <si>
    <t>　（その他経費）</t>
    <rPh sb="4" eb="5">
      <t>タ</t>
    </rPh>
    <rPh sb="5" eb="7">
      <t>ケイヒ</t>
    </rPh>
    <phoneticPr fontId="17"/>
  </si>
  <si>
    <t>小計②</t>
    <rPh sb="0" eb="2">
      <t>ショウケイ</t>
    </rPh>
    <phoneticPr fontId="17"/>
  </si>
  <si>
    <t>支出合計</t>
    <rPh sb="0" eb="2">
      <t>シシュツ</t>
    </rPh>
    <rPh sb="2" eb="4">
      <t>ゴウケイ</t>
    </rPh>
    <phoneticPr fontId="17"/>
  </si>
  <si>
    <t>小計①+②</t>
    <rPh sb="0" eb="2">
      <t>ショウケイ</t>
    </rPh>
    <phoneticPr fontId="17"/>
  </si>
  <si>
    <t>収支差額</t>
    <rPh sb="0" eb="2">
      <t>シュウシ</t>
    </rPh>
    <rPh sb="2" eb="4">
      <t>サガク</t>
    </rPh>
    <phoneticPr fontId="17"/>
  </si>
  <si>
    <t>支出に謝礼金は含まれますか</t>
    <phoneticPr fontId="1"/>
  </si>
  <si>
    <t>支出に打合せ経費は含まれますか</t>
    <phoneticPr fontId="1"/>
  </si>
  <si>
    <t>支出に物品購入費は含まれますか</t>
    <phoneticPr fontId="1"/>
  </si>
  <si>
    <r>
      <t>←該当する場合、</t>
    </r>
    <r>
      <rPr>
        <b/>
        <u/>
        <sz val="11"/>
        <color theme="1"/>
        <rFont val="游ゴシック"/>
        <family val="3"/>
        <charset val="128"/>
        <scheme val="minor"/>
      </rPr>
      <t>内容を手入力</t>
    </r>
    <rPh sb="1" eb="3">
      <t>ガイトウ</t>
    </rPh>
    <rPh sb="5" eb="7">
      <t>バアイ</t>
    </rPh>
    <rPh sb="8" eb="10">
      <t>ナイヨウ</t>
    </rPh>
    <rPh sb="11" eb="12">
      <t>テ</t>
    </rPh>
    <rPh sb="12" eb="14">
      <t>ニュウリョク</t>
    </rPh>
    <phoneticPr fontId="1"/>
  </si>
  <si>
    <t>支出に印刷経費は含まれますか</t>
    <rPh sb="0" eb="2">
      <t>シシュツ</t>
    </rPh>
    <rPh sb="3" eb="5">
      <t>インサツ</t>
    </rPh>
    <rPh sb="5" eb="7">
      <t>ケイヒ</t>
    </rPh>
    <rPh sb="8" eb="9">
      <t>フク</t>
    </rPh>
    <phoneticPr fontId="1"/>
  </si>
  <si>
    <t>支出に役務費は含まれますか</t>
    <phoneticPr fontId="1"/>
  </si>
  <si>
    <t>支出に委託料は含まれますか</t>
    <phoneticPr fontId="1"/>
  </si>
  <si>
    <t>支出にレンタル・リース料は含まれますか</t>
    <phoneticPr fontId="1"/>
  </si>
  <si>
    <t>支出に工事費は含まれますか</t>
    <phoneticPr fontId="1"/>
  </si>
  <si>
    <t>支出に助成対象外経費は含まれますか</t>
    <phoneticPr fontId="1"/>
  </si>
  <si>
    <t>参加費、売り上げ、寄付金など、助成金以外の収入はありますか</t>
    <phoneticPr fontId="1"/>
  </si>
  <si>
    <t>団体の種類</t>
    <rPh sb="0" eb="2">
      <t>ダンタイ</t>
    </rPh>
    <rPh sb="3" eb="5">
      <t>シュルイ</t>
    </rPh>
    <phoneticPr fontId="1"/>
  </si>
  <si>
    <t>申請上限額（自動入力）</t>
    <rPh sb="0" eb="2">
      <t>シンセイ</t>
    </rPh>
    <rPh sb="2" eb="5">
      <t>ジョウゲンガク</t>
    </rPh>
    <rPh sb="6" eb="8">
      <t>ジドウ</t>
    </rPh>
    <rPh sb="8" eb="10">
      <t>ニュウリョク</t>
    </rPh>
    <phoneticPr fontId="1"/>
  </si>
  <si>
    <t>助成対象経費合計額（自動入力）</t>
    <rPh sb="0" eb="2">
      <t>ジョセイ</t>
    </rPh>
    <rPh sb="2" eb="4">
      <t>タイショウ</t>
    </rPh>
    <rPh sb="4" eb="6">
      <t>ケイヒ</t>
    </rPh>
    <rPh sb="6" eb="8">
      <t>ゴウケイ</t>
    </rPh>
    <rPh sb="8" eb="9">
      <t>ガク</t>
    </rPh>
    <rPh sb="10" eb="12">
      <t>ジドウ</t>
    </rPh>
    <rPh sb="12" eb="14">
      <t>ニュウリョク</t>
    </rPh>
    <phoneticPr fontId="1"/>
  </si>
  <si>
    <t>支出合計額（自動入力）</t>
    <rPh sb="0" eb="2">
      <t>シシュツ</t>
    </rPh>
    <rPh sb="2" eb="4">
      <t>ゴウケイ</t>
    </rPh>
    <rPh sb="4" eb="5">
      <t>ガク</t>
    </rPh>
    <rPh sb="6" eb="8">
      <t>ジドウ</t>
    </rPh>
    <rPh sb="8" eb="10">
      <t>ニュウリョク</t>
    </rPh>
    <phoneticPr fontId="1"/>
  </si>
  <si>
    <t>自己資金（自動入力）</t>
    <rPh sb="0" eb="2">
      <t>ジコ</t>
    </rPh>
    <rPh sb="2" eb="4">
      <t>シキン</t>
    </rPh>
    <rPh sb="5" eb="7">
      <t>ジドウ</t>
    </rPh>
    <rPh sb="7" eb="9">
      <t>ニュウリョク</t>
    </rPh>
    <phoneticPr fontId="1"/>
  </si>
  <si>
    <t>「地域の底力発展事業助成金」として申請する金額（自動入力）</t>
    <rPh sb="24" eb="26">
      <t>ジドウ</t>
    </rPh>
    <rPh sb="26" eb="28">
      <t>ニュウリョク</t>
    </rPh>
    <phoneticPr fontId="1"/>
  </si>
  <si>
    <t>決　　算　　書</t>
    <rPh sb="0" eb="1">
      <t>ケツ</t>
    </rPh>
    <rPh sb="3" eb="4">
      <t>ザン</t>
    </rPh>
    <rPh sb="6" eb="7">
      <t>ショ</t>
    </rPh>
    <phoneticPr fontId="17"/>
  </si>
  <si>
    <t>１　助成金収入</t>
    <phoneticPr fontId="17"/>
  </si>
  <si>
    <t>地域の底力発展事業助成金</t>
    <phoneticPr fontId="17"/>
  </si>
  <si>
    <t>２　その他収入</t>
    <rPh sb="4" eb="5">
      <t>タ</t>
    </rPh>
    <rPh sb="5" eb="7">
      <t>シュウニュウ</t>
    </rPh>
    <phoneticPr fontId="17"/>
  </si>
  <si>
    <t>領収書
番号</t>
    <rPh sb="0" eb="2">
      <t>リョウシュウ</t>
    </rPh>
    <rPh sb="2" eb="3">
      <t>ショ</t>
    </rPh>
    <rPh sb="4" eb="6">
      <t>バンゴウ</t>
    </rPh>
    <phoneticPr fontId="17"/>
  </si>
  <si>
    <t>１　助成対象経費</t>
    <rPh sb="2" eb="4">
      <t>ジョセイ</t>
    </rPh>
    <rPh sb="4" eb="6">
      <t>タイショウ</t>
    </rPh>
    <rPh sb="6" eb="8">
      <t>ケイヒ</t>
    </rPh>
    <phoneticPr fontId="17"/>
  </si>
  <si>
    <t>(1)　謝礼金</t>
    <rPh sb="4" eb="6">
      <t>シャレイ</t>
    </rPh>
    <rPh sb="6" eb="7">
      <t>カネ</t>
    </rPh>
    <phoneticPr fontId="17"/>
  </si>
  <si>
    <t>(2)　打合せ経費</t>
    <rPh sb="4" eb="6">
      <t>ウチアワ</t>
    </rPh>
    <rPh sb="7" eb="9">
      <t>ケイヒ</t>
    </rPh>
    <phoneticPr fontId="17"/>
  </si>
  <si>
    <t>(3)　物品購入費</t>
    <rPh sb="4" eb="6">
      <t>ブッピン</t>
    </rPh>
    <rPh sb="6" eb="8">
      <t>コウニュウ</t>
    </rPh>
    <rPh sb="8" eb="9">
      <t>ヒ</t>
    </rPh>
    <phoneticPr fontId="17"/>
  </si>
  <si>
    <t>(4)　印刷経費</t>
    <rPh sb="4" eb="6">
      <t>インサツ</t>
    </rPh>
    <rPh sb="6" eb="8">
      <t>ケイヒ</t>
    </rPh>
    <phoneticPr fontId="17"/>
  </si>
  <si>
    <t>(5)　役務費</t>
    <rPh sb="4" eb="6">
      <t>エキム</t>
    </rPh>
    <rPh sb="6" eb="7">
      <t>ヒ</t>
    </rPh>
    <phoneticPr fontId="17"/>
  </si>
  <si>
    <t>(6)　委託料</t>
    <rPh sb="4" eb="7">
      <t>イタクリョウ</t>
    </rPh>
    <phoneticPr fontId="17"/>
  </si>
  <si>
    <t>(8)　工事費</t>
    <rPh sb="4" eb="6">
      <t>コウジ</t>
    </rPh>
    <rPh sb="6" eb="7">
      <t>ヒ</t>
    </rPh>
    <phoneticPr fontId="17"/>
  </si>
  <si>
    <t>予算額</t>
    <rPh sb="0" eb="3">
      <t>ヨサンガク</t>
    </rPh>
    <phoneticPr fontId="1"/>
  </si>
  <si>
    <t>決算額</t>
    <rPh sb="0" eb="2">
      <t>ケッサン</t>
    </rPh>
    <rPh sb="2" eb="3">
      <t>ガク</t>
    </rPh>
    <phoneticPr fontId="17"/>
  </si>
  <si>
    <t>第１０号様式</t>
    <rPh sb="0" eb="1">
      <t>ダイ</t>
    </rPh>
    <rPh sb="3" eb="4">
      <t>ゴウ</t>
    </rPh>
    <rPh sb="4" eb="6">
      <t>ヨウシキ</t>
    </rPh>
    <phoneticPr fontId="1"/>
  </si>
  <si>
    <t>実績報告書</t>
    <rPh sb="0" eb="2">
      <t>ジッセキ</t>
    </rPh>
    <rPh sb="2" eb="5">
      <t>ホウコクショ</t>
    </rPh>
    <phoneticPr fontId="1"/>
  </si>
  <si>
    <t>事業実績等</t>
    <rPh sb="0" eb="2">
      <t>ジギョウ</t>
    </rPh>
    <rPh sb="2" eb="4">
      <t>ジッセキ</t>
    </rPh>
    <rPh sb="4" eb="5">
      <t>トウ</t>
    </rPh>
    <phoneticPr fontId="1"/>
  </si>
  <si>
    <t>(1)</t>
    <phoneticPr fontId="1"/>
  </si>
  <si>
    <t>実施事業名</t>
    <rPh sb="0" eb="2">
      <t>ジッシ</t>
    </rPh>
    <rPh sb="2" eb="4">
      <t>ジギョウ</t>
    </rPh>
    <rPh sb="4" eb="5">
      <t>メイ</t>
    </rPh>
    <phoneticPr fontId="1"/>
  </si>
  <si>
    <t>(2)</t>
    <phoneticPr fontId="1"/>
  </si>
  <si>
    <t>事業実施期間</t>
    <rPh sb="0" eb="2">
      <t>ジギョウ</t>
    </rPh>
    <rPh sb="2" eb="4">
      <t>ジッシ</t>
    </rPh>
    <rPh sb="4" eb="6">
      <t>キカン</t>
    </rPh>
    <phoneticPr fontId="1"/>
  </si>
  <si>
    <t>(3)</t>
    <phoneticPr fontId="1"/>
  </si>
  <si>
    <t>(4)</t>
    <phoneticPr fontId="1"/>
  </si>
  <si>
    <t>事業実施内容</t>
    <rPh sb="0" eb="2">
      <t>ジギョウ</t>
    </rPh>
    <rPh sb="2" eb="4">
      <t>ジッシ</t>
    </rPh>
    <rPh sb="4" eb="6">
      <t>ナイヨウ</t>
    </rPh>
    <phoneticPr fontId="1"/>
  </si>
  <si>
    <t>実施日</t>
    <rPh sb="0" eb="3">
      <t>ジッシビ</t>
    </rPh>
    <phoneticPr fontId="1"/>
  </si>
  <si>
    <t>【打合せ・反省会等】</t>
    <rPh sb="1" eb="3">
      <t>ウチアワ</t>
    </rPh>
    <rPh sb="5" eb="7">
      <t>ハンセイ</t>
    </rPh>
    <rPh sb="7" eb="8">
      <t>カイ</t>
    </rPh>
    <rPh sb="8" eb="9">
      <t>トウ</t>
    </rPh>
    <phoneticPr fontId="1"/>
  </si>
  <si>
    <t>事業周知方法</t>
    <rPh sb="0" eb="2">
      <t>ジギョウ</t>
    </rPh>
    <rPh sb="2" eb="4">
      <t>シュウチ</t>
    </rPh>
    <rPh sb="4" eb="6">
      <t>ホウホウ</t>
    </rPh>
    <phoneticPr fontId="1"/>
  </si>
  <si>
    <t>【事業実施日】</t>
    <rPh sb="1" eb="3">
      <t>ジギョウ</t>
    </rPh>
    <rPh sb="3" eb="5">
      <t>ジッシ</t>
    </rPh>
    <rPh sb="5" eb="6">
      <t>ビ</t>
    </rPh>
    <phoneticPr fontId="1"/>
  </si>
  <si>
    <t>参加人数（合計）</t>
    <rPh sb="0" eb="2">
      <t>サンカ</t>
    </rPh>
    <rPh sb="2" eb="4">
      <t>ニンズウ</t>
    </rPh>
    <rPh sb="5" eb="7">
      <t>ゴウケイ</t>
    </rPh>
    <phoneticPr fontId="1"/>
  </si>
  <si>
    <t>事業周知開始日</t>
    <rPh sb="0" eb="7">
      <t>ジギョウシュウチカイシビ</t>
    </rPh>
    <phoneticPr fontId="1"/>
  </si>
  <si>
    <t>(5)</t>
    <phoneticPr fontId="1"/>
  </si>
  <si>
    <t>「地域防災力の強化」かつ「多文化共生社会づくり」につながる活動の実施内容等</t>
    <rPh sb="1" eb="3">
      <t>チイキ</t>
    </rPh>
    <rPh sb="3" eb="5">
      <t>ボウサイ</t>
    </rPh>
    <rPh sb="5" eb="6">
      <t>リョク</t>
    </rPh>
    <rPh sb="7" eb="9">
      <t>キョウカ</t>
    </rPh>
    <rPh sb="13" eb="18">
      <t>タブンカキョウセイ</t>
    </rPh>
    <rPh sb="18" eb="20">
      <t>シャカイ</t>
    </rPh>
    <rPh sb="29" eb="31">
      <t>カツドウ</t>
    </rPh>
    <rPh sb="32" eb="34">
      <t>ジッシ</t>
    </rPh>
    <rPh sb="34" eb="36">
      <t>ナイヨウ</t>
    </rPh>
    <rPh sb="36" eb="37">
      <t>トウ</t>
    </rPh>
    <phoneticPr fontId="1"/>
  </si>
  <si>
    <t xml:space="preserve"> ア</t>
    <phoneticPr fontId="1"/>
  </si>
  <si>
    <t>普及啓発チラシ配布</t>
    <rPh sb="0" eb="2">
      <t>フキュウ</t>
    </rPh>
    <rPh sb="2" eb="4">
      <t>ケイハツ</t>
    </rPh>
    <rPh sb="7" eb="9">
      <t>ハイフ</t>
    </rPh>
    <phoneticPr fontId="1"/>
  </si>
  <si>
    <t>防災訓練の実施</t>
    <rPh sb="0" eb="2">
      <t>ボウサイ</t>
    </rPh>
    <rPh sb="2" eb="4">
      <t>クンレン</t>
    </rPh>
    <rPh sb="5" eb="7">
      <t>ジッシ</t>
    </rPh>
    <phoneticPr fontId="1"/>
  </si>
  <si>
    <t>事業周知物等の多言語化</t>
    <rPh sb="0" eb="2">
      <t>ジギョウ</t>
    </rPh>
    <rPh sb="2" eb="4">
      <t>シュウチ</t>
    </rPh>
    <rPh sb="4" eb="5">
      <t>ブツ</t>
    </rPh>
    <rPh sb="5" eb="6">
      <t>トウ</t>
    </rPh>
    <rPh sb="7" eb="11">
      <t>タゲンゴカ</t>
    </rPh>
    <phoneticPr fontId="1"/>
  </si>
  <si>
    <t>多文化交流</t>
    <rPh sb="0" eb="3">
      <t>タブンカ</t>
    </rPh>
    <rPh sb="3" eb="5">
      <t>コウリュウ</t>
    </rPh>
    <phoneticPr fontId="1"/>
  </si>
  <si>
    <t>【具体的な内容】</t>
    <rPh sb="1" eb="4">
      <t>グタイテキ</t>
    </rPh>
    <rPh sb="5" eb="7">
      <t>ナイヨウ</t>
    </rPh>
    <phoneticPr fontId="1"/>
  </si>
  <si>
    <t xml:space="preserve"> イ</t>
    <phoneticPr fontId="1"/>
  </si>
  <si>
    <t>地域住民の防災への関心が高まり、防災意識の向上につながった。</t>
    <phoneticPr fontId="1"/>
  </si>
  <si>
    <t>外国人との共生や多文化理解のきっかけとなった。</t>
    <phoneticPr fontId="1"/>
  </si>
  <si>
    <t>地域の企業や外国人支援団体との繋がりを持つことができた。</t>
    <phoneticPr fontId="1"/>
  </si>
  <si>
    <t>【効果】</t>
    <rPh sb="1" eb="3">
      <t>コウカ</t>
    </rPh>
    <phoneticPr fontId="1"/>
  </si>
  <si>
    <t>【課題】</t>
    <rPh sb="1" eb="3">
      <t>カダイ</t>
    </rPh>
    <phoneticPr fontId="1"/>
  </si>
  <si>
    <t>災害時における地域住民の共助の意識をさらに深める必要がある。</t>
    <phoneticPr fontId="1"/>
  </si>
  <si>
    <t>多文化共生の意識を地域全体に根付かせる必要がある。</t>
    <phoneticPr fontId="1"/>
  </si>
  <si>
    <t>より発展的な事業を検討する必要がある。</t>
    <phoneticPr fontId="1"/>
  </si>
  <si>
    <t>(6)</t>
    <phoneticPr fontId="1"/>
  </si>
  <si>
    <t>事業の効果</t>
    <rPh sb="0" eb="2">
      <t>ジギョウ</t>
    </rPh>
    <rPh sb="3" eb="5">
      <t>コウカ</t>
    </rPh>
    <phoneticPr fontId="1"/>
  </si>
  <si>
    <t>町会・自治会が活性化されて、今後の活動を担う人材の育成につながった。</t>
    <phoneticPr fontId="1"/>
  </si>
  <si>
    <t>地域における町会・自治会活動への住民の関心が深まり、新規加入の促進に効果があった。</t>
    <phoneticPr fontId="1"/>
  </si>
  <si>
    <t>他団体との連携が強化され、今後の地域活動の発展に向けての契機となった。</t>
    <phoneticPr fontId="1"/>
  </si>
  <si>
    <t>(7)</t>
    <phoneticPr fontId="1"/>
  </si>
  <si>
    <t>事業の成果（成果物を含む。）</t>
    <rPh sb="0" eb="2">
      <t>ジギョウ</t>
    </rPh>
    <rPh sb="3" eb="5">
      <t>セイカ</t>
    </rPh>
    <rPh sb="6" eb="9">
      <t>セイカブツ</t>
    </rPh>
    <rPh sb="10" eb="11">
      <t>フク</t>
    </rPh>
    <phoneticPr fontId="1"/>
  </si>
  <si>
    <t>(8)</t>
    <phoneticPr fontId="1"/>
  </si>
  <si>
    <t>参加団体</t>
    <rPh sb="0" eb="2">
      <t>サンカ</t>
    </rPh>
    <rPh sb="2" eb="4">
      <t>ダンタイ</t>
    </rPh>
    <phoneticPr fontId="1"/>
  </si>
  <si>
    <t>事業実績額</t>
    <rPh sb="0" eb="2">
      <t>ジギョウ</t>
    </rPh>
    <rPh sb="2" eb="4">
      <t>ジッセキ</t>
    </rPh>
    <rPh sb="4" eb="5">
      <t>ガク</t>
    </rPh>
    <phoneticPr fontId="1"/>
  </si>
  <si>
    <t>※　事業実績額の内訳については、別紙「決算書」のとおり報告する。</t>
    <rPh sb="2" eb="4">
      <t>ジギョウ</t>
    </rPh>
    <rPh sb="4" eb="6">
      <t>ジッセキ</t>
    </rPh>
    <rPh sb="6" eb="7">
      <t>ガク</t>
    </rPh>
    <rPh sb="8" eb="10">
      <t>ウチワケ</t>
    </rPh>
    <rPh sb="16" eb="18">
      <t>ベッシ</t>
    </rPh>
    <rPh sb="19" eb="22">
      <t>ケッサンショ</t>
    </rPh>
    <rPh sb="27" eb="29">
      <t>ホウコク</t>
    </rPh>
    <phoneticPr fontId="1"/>
  </si>
  <si>
    <t>※　事業実績額の領収書等については、別添のとおり報告する。　</t>
    <rPh sb="2" eb="4">
      <t>ジギョウ</t>
    </rPh>
    <rPh sb="4" eb="6">
      <t>ジッセキ</t>
    </rPh>
    <rPh sb="6" eb="7">
      <t>ガク</t>
    </rPh>
    <rPh sb="8" eb="11">
      <t>リョウシュウショ</t>
    </rPh>
    <rPh sb="11" eb="12">
      <t>ナド</t>
    </rPh>
    <rPh sb="18" eb="20">
      <t>ベッテン</t>
    </rPh>
    <rPh sb="24" eb="26">
      <t>ホウコク</t>
    </rPh>
    <phoneticPr fontId="1"/>
  </si>
  <si>
    <t>実績報告内容確認書</t>
    <rPh sb="0" eb="2">
      <t>ジッセキ</t>
    </rPh>
    <rPh sb="2" eb="4">
      <t>ホウコク</t>
    </rPh>
    <rPh sb="4" eb="6">
      <t>ナイヨウ</t>
    </rPh>
    <rPh sb="6" eb="9">
      <t>カクニンショ</t>
    </rPh>
    <phoneticPr fontId="1"/>
  </si>
  <si>
    <t>　東京都知事　殿</t>
    <rPh sb="1" eb="4">
      <t>トウキョウト</t>
    </rPh>
    <rPh sb="4" eb="6">
      <t>チジ</t>
    </rPh>
    <rPh sb="7" eb="8">
      <t>ドノ</t>
    </rPh>
    <phoneticPr fontId="1"/>
  </si>
  <si>
    <t>申請代表団体</t>
    <rPh sb="0" eb="2">
      <t>シンセイ</t>
    </rPh>
    <rPh sb="2" eb="4">
      <t>ダイヒョウ</t>
    </rPh>
    <rPh sb="4" eb="6">
      <t>ダンタイ</t>
    </rPh>
    <phoneticPr fontId="1"/>
  </si>
  <si>
    <t>共同実施団体</t>
    <rPh sb="0" eb="2">
      <t>キョウドウ</t>
    </rPh>
    <rPh sb="2" eb="4">
      <t>ジッシ</t>
    </rPh>
    <rPh sb="4" eb="6">
      <t>ダンタイ</t>
    </rPh>
    <phoneticPr fontId="1"/>
  </si>
  <si>
    <t>　令和　年　月　日付けで提出した地域の底力発展事業助成実績報告書の内容について、</t>
    <rPh sb="1" eb="3">
      <t>レイワ</t>
    </rPh>
    <rPh sb="4" eb="5">
      <t>ネン</t>
    </rPh>
    <rPh sb="6" eb="7">
      <t>ガツ</t>
    </rPh>
    <rPh sb="8" eb="10">
      <t>ニチヅケ</t>
    </rPh>
    <rPh sb="12" eb="14">
      <t>テイシュツ</t>
    </rPh>
    <rPh sb="16" eb="18">
      <t>チイキ</t>
    </rPh>
    <rPh sb="19" eb="21">
      <t>ソコヂカラ</t>
    </rPh>
    <rPh sb="21" eb="23">
      <t>ハッテン</t>
    </rPh>
    <rPh sb="23" eb="25">
      <t>ジギョウ</t>
    </rPh>
    <rPh sb="25" eb="27">
      <t>ジョセイ</t>
    </rPh>
    <rPh sb="27" eb="29">
      <t>ジッセキ</t>
    </rPh>
    <rPh sb="29" eb="32">
      <t>ホウコクショ</t>
    </rPh>
    <rPh sb="33" eb="35">
      <t>ナイヨウ</t>
    </rPh>
    <phoneticPr fontId="1"/>
  </si>
  <si>
    <t>実施内容と相違ないことを確認します。</t>
    <rPh sb="2" eb="4">
      <t>ナイヨウ</t>
    </rPh>
    <rPh sb="5" eb="7">
      <t>ソウイ</t>
    </rPh>
    <rPh sb="12" eb="14">
      <t>カクニン</t>
    </rPh>
    <phoneticPr fontId="1"/>
  </si>
  <si>
    <t>Ｃ区分</t>
    <rPh sb="1" eb="3">
      <t>クブン</t>
    </rPh>
    <phoneticPr fontId="1"/>
  </si>
  <si>
    <t>Ｄ区分</t>
    <rPh sb="1" eb="3">
      <t>クブン</t>
    </rPh>
    <phoneticPr fontId="1"/>
  </si>
  <si>
    <t>申請団体</t>
    <rPh sb="0" eb="2">
      <t>シンセイ</t>
    </rPh>
    <rPh sb="2" eb="4">
      <t>ダンタイ</t>
    </rPh>
    <phoneticPr fontId="1"/>
  </si>
  <si>
    <t>連携先団体</t>
    <rPh sb="0" eb="2">
      <t>レンケイ</t>
    </rPh>
    <rPh sb="2" eb="3">
      <t>サキ</t>
    </rPh>
    <rPh sb="3" eb="5">
      <t>ダンタイ</t>
    </rPh>
    <phoneticPr fontId="1"/>
  </si>
  <si>
    <r>
      <t>２　</t>
    </r>
    <r>
      <rPr>
        <sz val="10"/>
        <color theme="1"/>
        <rFont val="ＭＳ Ｐゴシック"/>
        <family val="3"/>
        <charset val="128"/>
      </rPr>
      <t>助成対象外経費</t>
    </r>
    <rPh sb="2" eb="4">
      <t>ジョセイ</t>
    </rPh>
    <rPh sb="4" eb="7">
      <t>タイショウガイ</t>
    </rPh>
    <rPh sb="7" eb="9">
      <t>ケイヒ</t>
    </rPh>
    <phoneticPr fontId="17"/>
  </si>
  <si>
    <t>(7)　レンタル・</t>
    <phoneticPr fontId="17"/>
  </si>
  <si>
    <t>リース料</t>
    <phoneticPr fontId="1"/>
  </si>
  <si>
    <t>(単位：円）</t>
    <phoneticPr fontId="1"/>
  </si>
  <si>
    <t>団体名</t>
    <rPh sb="0" eb="2">
      <t>ダンタイ</t>
    </rPh>
    <rPh sb="2" eb="3">
      <t>メイ</t>
    </rPh>
    <phoneticPr fontId="1"/>
  </si>
  <si>
    <t>交付申請時支出内容</t>
    <rPh sb="0" eb="2">
      <t>コウフ</t>
    </rPh>
    <rPh sb="2" eb="5">
      <t>シンセイジ</t>
    </rPh>
    <rPh sb="5" eb="7">
      <t>シシュツ</t>
    </rPh>
    <rPh sb="7" eb="9">
      <t>ナイヨウ</t>
    </rPh>
    <phoneticPr fontId="17"/>
  </si>
  <si>
    <t>実績報告時支出内容</t>
    <rPh sb="0" eb="2">
      <t>ジッセキ</t>
    </rPh>
    <rPh sb="2" eb="4">
      <t>ホウコク</t>
    </rPh>
    <rPh sb="4" eb="5">
      <t>ジ</t>
    </rPh>
    <rPh sb="5" eb="7">
      <t>シシュツ</t>
    </rPh>
    <rPh sb="7" eb="9">
      <t>ナイヨウ</t>
    </rPh>
    <phoneticPr fontId="1"/>
  </si>
  <si>
    <t>交付申請時収入内容</t>
    <rPh sb="0" eb="2">
      <t>コウフ</t>
    </rPh>
    <rPh sb="2" eb="5">
      <t>シンセイジ</t>
    </rPh>
    <rPh sb="5" eb="7">
      <t>シュウニュウ</t>
    </rPh>
    <rPh sb="7" eb="9">
      <t>ナイヨウ</t>
    </rPh>
    <phoneticPr fontId="17"/>
  </si>
  <si>
    <t>実績報告時収入内容</t>
    <rPh sb="0" eb="2">
      <t>ジッセキ</t>
    </rPh>
    <rPh sb="2" eb="4">
      <t>ホウコク</t>
    </rPh>
    <rPh sb="4" eb="5">
      <t>ジ</t>
    </rPh>
    <rPh sb="5" eb="7">
      <t>シュウニュウ</t>
    </rPh>
    <rPh sb="7" eb="9">
      <t>ナイヨウ</t>
    </rPh>
    <phoneticPr fontId="1"/>
  </si>
  <si>
    <t>助成率（自動入力）</t>
    <rPh sb="0" eb="2">
      <t>ジョセイ</t>
    </rPh>
    <rPh sb="2" eb="3">
      <t>リツ</t>
    </rPh>
    <rPh sb="4" eb="6">
      <t>ジドウ</t>
    </rPh>
    <rPh sb="6" eb="8">
      <t>ニュウリョク</t>
    </rPh>
    <phoneticPr fontId="1"/>
  </si>
  <si>
    <t>広報（開始予定時期（年））</t>
    <rPh sb="0" eb="2">
      <t>コウホウ</t>
    </rPh>
    <rPh sb="3" eb="5">
      <t>カイシ</t>
    </rPh>
    <rPh sb="5" eb="7">
      <t>ヨテイ</t>
    </rPh>
    <rPh sb="7" eb="9">
      <t>ジキ</t>
    </rPh>
    <rPh sb="10" eb="11">
      <t>ネン</t>
    </rPh>
    <phoneticPr fontId="1"/>
  </si>
  <si>
    <t>広報（開始予定時期（月））</t>
    <rPh sb="0" eb="2">
      <t>コウホウ</t>
    </rPh>
    <rPh sb="3" eb="5">
      <t>カイシ</t>
    </rPh>
    <rPh sb="5" eb="7">
      <t>ヨテイ</t>
    </rPh>
    <rPh sb="7" eb="9">
      <t>ジキ</t>
    </rPh>
    <rPh sb="10" eb="11">
      <t>ゲツ</t>
    </rPh>
    <phoneticPr fontId="1"/>
  </si>
  <si>
    <t>広報（開始予定時期（上～下旬））</t>
    <rPh sb="0" eb="2">
      <t>コウホウ</t>
    </rPh>
    <rPh sb="3" eb="5">
      <t>カイシ</t>
    </rPh>
    <rPh sb="5" eb="7">
      <t>ヨテイ</t>
    </rPh>
    <rPh sb="7" eb="9">
      <t>ジキ</t>
    </rPh>
    <rPh sb="10" eb="11">
      <t>ジョウ</t>
    </rPh>
    <rPh sb="12" eb="14">
      <t>ゲジュン</t>
    </rPh>
    <phoneticPr fontId="1"/>
  </si>
  <si>
    <t>領収書の日付で最も早い日付</t>
    <rPh sb="0" eb="3">
      <t>リョウシュウショ</t>
    </rPh>
    <rPh sb="4" eb="6">
      <t>ヒヅケ</t>
    </rPh>
    <rPh sb="7" eb="8">
      <t>モット</t>
    </rPh>
    <rPh sb="9" eb="10">
      <t>ハヤ</t>
    </rPh>
    <rPh sb="11" eb="13">
      <t>ヒヅケ</t>
    </rPh>
    <phoneticPr fontId="1"/>
  </si>
  <si>
    <t>領収書の日付で最も遅い日付</t>
    <rPh sb="0" eb="3">
      <t>リョウシュウショ</t>
    </rPh>
    <rPh sb="4" eb="6">
      <t>ヒヅケ</t>
    </rPh>
    <rPh sb="7" eb="8">
      <t>モット</t>
    </rPh>
    <rPh sb="9" eb="10">
      <t>オソ</t>
    </rPh>
    <rPh sb="11" eb="13">
      <t>ヒヅケ</t>
    </rPh>
    <phoneticPr fontId="1"/>
  </si>
  <si>
    <t>単価(税込)</t>
    <rPh sb="0" eb="2">
      <t>タンカ</t>
    </rPh>
    <rPh sb="3" eb="5">
      <t>ゼイコミ</t>
    </rPh>
    <phoneticPr fontId="17"/>
  </si>
  <si>
    <t>金額(税込)</t>
    <rPh sb="0" eb="2">
      <t>キンガク</t>
    </rPh>
    <phoneticPr fontId="17"/>
  </si>
  <si>
    <t>事業実施期間（開始日）（自動入力）</t>
    <rPh sb="0" eb="2">
      <t>ジギョウ</t>
    </rPh>
    <rPh sb="2" eb="4">
      <t>ジッシ</t>
    </rPh>
    <rPh sb="4" eb="6">
      <t>キカン</t>
    </rPh>
    <rPh sb="7" eb="10">
      <t>カイシビ</t>
    </rPh>
    <rPh sb="12" eb="14">
      <t>ジドウ</t>
    </rPh>
    <rPh sb="14" eb="16">
      <t>ニュウリョク</t>
    </rPh>
    <phoneticPr fontId="1"/>
  </si>
  <si>
    <t>事業実施期間（終了日）（自動入力）</t>
    <rPh sb="0" eb="2">
      <t>ジギョウ</t>
    </rPh>
    <rPh sb="2" eb="4">
      <t>ジッシ</t>
    </rPh>
    <rPh sb="4" eb="6">
      <t>キカン</t>
    </rPh>
    <rPh sb="7" eb="10">
      <t>シュウリョウビ</t>
    </rPh>
    <rPh sb="12" eb="14">
      <t>ジドウ</t>
    </rPh>
    <rPh sb="14" eb="16">
      <t>ニュウリョク</t>
    </rPh>
    <phoneticPr fontId="1"/>
  </si>
  <si>
    <t>打合せ実施日２</t>
    <rPh sb="0" eb="2">
      <t>ウチアワ</t>
    </rPh>
    <rPh sb="3" eb="6">
      <t>ジッシビ</t>
    </rPh>
    <rPh sb="5" eb="6">
      <t>ビ</t>
    </rPh>
    <phoneticPr fontId="1"/>
  </si>
  <si>
    <t>打合せ実施日１（初回打合せ日が自動入力）</t>
    <rPh sb="0" eb="2">
      <t>ウチアワ</t>
    </rPh>
    <rPh sb="3" eb="5">
      <t>ジッシ</t>
    </rPh>
    <rPh sb="5" eb="6">
      <t>ビ</t>
    </rPh>
    <rPh sb="8" eb="12">
      <t>ショカイウチアワ</t>
    </rPh>
    <rPh sb="13" eb="14">
      <t>ビ</t>
    </rPh>
    <rPh sb="15" eb="17">
      <t>ジドウ</t>
    </rPh>
    <rPh sb="17" eb="19">
      <t>ニュウリョク</t>
    </rPh>
    <phoneticPr fontId="1"/>
  </si>
  <si>
    <t>事業当日参加人数</t>
    <rPh sb="0" eb="2">
      <t>ジギョウ</t>
    </rPh>
    <rPh sb="2" eb="4">
      <t>トウジツ</t>
    </rPh>
    <rPh sb="4" eb="6">
      <t>サンカ</t>
    </rPh>
    <rPh sb="6" eb="8">
      <t>ニンズウ</t>
    </rPh>
    <phoneticPr fontId="1"/>
  </si>
  <si>
    <t>事業周知開始日</t>
    <rPh sb="0" eb="2">
      <t>ジギョウ</t>
    </rPh>
    <rPh sb="2" eb="4">
      <t>シュウチ</t>
    </rPh>
    <rPh sb="4" eb="7">
      <t>カイシビ</t>
    </rPh>
    <phoneticPr fontId="1"/>
  </si>
  <si>
    <t>事業実施日１</t>
    <rPh sb="0" eb="2">
      <t>ジギョウ</t>
    </rPh>
    <rPh sb="2" eb="4">
      <t>ジッシ</t>
    </rPh>
    <rPh sb="4" eb="5">
      <t>ビ</t>
    </rPh>
    <phoneticPr fontId="1"/>
  </si>
  <si>
    <t>(助成率の特例措置を受けた団体のみ記入)</t>
    <rPh sb="1" eb="3">
      <t>ジョセイ</t>
    </rPh>
    <rPh sb="3" eb="4">
      <t>リツ</t>
    </rPh>
    <rPh sb="5" eb="7">
      <t>トクレイ</t>
    </rPh>
    <rPh sb="7" eb="9">
      <t>ソチ</t>
    </rPh>
    <rPh sb="10" eb="11">
      <t>ウ</t>
    </rPh>
    <rPh sb="13" eb="15">
      <t>ダンタイ</t>
    </rPh>
    <rPh sb="17" eb="19">
      <t>キニュウ</t>
    </rPh>
    <phoneticPr fontId="1"/>
  </si>
  <si>
    <t>※上記の概要でチェックを付けた内容について、詳細を記入してください。</t>
    <rPh sb="1" eb="3">
      <t>ジョウキ</t>
    </rPh>
    <rPh sb="4" eb="6">
      <t>ガイヨウ</t>
    </rPh>
    <rPh sb="12" eb="13">
      <t>ツ</t>
    </rPh>
    <rPh sb="15" eb="17">
      <t>ナイヨウ</t>
    </rPh>
    <rPh sb="22" eb="24">
      <t>ショウサイ</t>
    </rPh>
    <rPh sb="25" eb="27">
      <t>キニュウ</t>
    </rPh>
    <phoneticPr fontId="1"/>
  </si>
  <si>
    <t>・町会・自治会が活性化されて、今後の活動を担う人材の育成につながった。</t>
    <phoneticPr fontId="1"/>
  </si>
  <si>
    <t>・地域における町会・自治会活動への住民の関心が深まり、新規加入の促進に効果があった。</t>
    <phoneticPr fontId="1"/>
  </si>
  <si>
    <t>・住民間の交流が活発になり、住民同士が顔の見える関係になることで、地域のつながりを強化することができた。</t>
    <phoneticPr fontId="1"/>
  </si>
  <si>
    <t>・他団体との連携が強化され、今後の地域活動の発展に向けての契機となった。</t>
    <phoneticPr fontId="1"/>
  </si>
  <si>
    <t>・地域の課題に対する住民の意識が高まり、地域ぐるみで課題解決に向けた活動を展開することができた。</t>
    <phoneticPr fontId="1"/>
  </si>
  <si>
    <t>(新規加入世帯数：</t>
    <rPh sb="1" eb="3">
      <t>シンキ</t>
    </rPh>
    <rPh sb="3" eb="5">
      <t>カニュウ</t>
    </rPh>
    <rPh sb="5" eb="7">
      <t>セタイ</t>
    </rPh>
    <rPh sb="7" eb="8">
      <t>スウ</t>
    </rPh>
    <phoneticPr fontId="1"/>
  </si>
  <si>
    <t>特に効果のあった事項など</t>
    <rPh sb="0" eb="1">
      <t>トク</t>
    </rPh>
    <rPh sb="2" eb="4">
      <t>コウカ</t>
    </rPh>
    <rPh sb="8" eb="10">
      <t>ジコウ</t>
    </rPh>
    <phoneticPr fontId="1"/>
  </si>
  <si>
    <t xml:space="preserve">令和　　年　　月　　日  </t>
    <phoneticPr fontId="1"/>
  </si>
  <si>
    <t>団体名（申請時の内容が自動転記）</t>
    <rPh sb="0" eb="2">
      <t>ダンタイ</t>
    </rPh>
    <rPh sb="2" eb="3">
      <t>メイ</t>
    </rPh>
    <rPh sb="4" eb="7">
      <t>シンセイジ</t>
    </rPh>
    <rPh sb="8" eb="10">
      <t>ナイヨウ</t>
    </rPh>
    <rPh sb="11" eb="13">
      <t>ジドウ</t>
    </rPh>
    <rPh sb="13" eb="15">
      <t>テンキ</t>
    </rPh>
    <phoneticPr fontId="1"/>
  </si>
  <si>
    <t>団体の種類（申請時の内容が自動転記）</t>
    <rPh sb="0" eb="2">
      <t>ダンタイ</t>
    </rPh>
    <rPh sb="3" eb="5">
      <t>シュルイ</t>
    </rPh>
    <rPh sb="6" eb="9">
      <t>シンセイジ</t>
    </rPh>
    <rPh sb="10" eb="12">
      <t>ナイヨウ</t>
    </rPh>
    <rPh sb="13" eb="15">
      <t>ジドウ</t>
    </rPh>
    <rPh sb="15" eb="17">
      <t>テンキ</t>
    </rPh>
    <phoneticPr fontId="1"/>
  </si>
  <si>
    <t>代表者役職（申請時の内容が自動転記）</t>
    <rPh sb="0" eb="2">
      <t>ダイヒョウ</t>
    </rPh>
    <rPh sb="2" eb="3">
      <t>シャ</t>
    </rPh>
    <rPh sb="3" eb="5">
      <t>ヤクショク</t>
    </rPh>
    <rPh sb="6" eb="9">
      <t>シンセイジ</t>
    </rPh>
    <rPh sb="10" eb="12">
      <t>ナイヨウ</t>
    </rPh>
    <rPh sb="13" eb="15">
      <t>ジドウ</t>
    </rPh>
    <rPh sb="15" eb="17">
      <t>テンキ</t>
    </rPh>
    <phoneticPr fontId="1"/>
  </si>
  <si>
    <t>代表者氏名（申請時の内容が自動転記）</t>
    <rPh sb="0" eb="2">
      <t>ダイヒョウ</t>
    </rPh>
    <rPh sb="2" eb="3">
      <t>シャ</t>
    </rPh>
    <rPh sb="3" eb="5">
      <t>シメイ</t>
    </rPh>
    <phoneticPr fontId="1"/>
  </si>
  <si>
    <t>電話番号（申請時の内容が自動転記）</t>
    <rPh sb="0" eb="2">
      <t>デンワ</t>
    </rPh>
    <rPh sb="2" eb="4">
      <t>バンゴウ</t>
    </rPh>
    <phoneticPr fontId="1"/>
  </si>
  <si>
    <t>連絡責任者役職（申請時の内容が自動転記）</t>
    <rPh sb="0" eb="2">
      <t>レンラク</t>
    </rPh>
    <rPh sb="2" eb="4">
      <t>セキニン</t>
    </rPh>
    <rPh sb="4" eb="5">
      <t>シャ</t>
    </rPh>
    <rPh sb="5" eb="7">
      <t>ヤクショク</t>
    </rPh>
    <phoneticPr fontId="1"/>
  </si>
  <si>
    <t>連絡責任者氏名（申請時の内容が自動転記）</t>
    <rPh sb="0" eb="2">
      <t>レンラク</t>
    </rPh>
    <rPh sb="2" eb="4">
      <t>セキニン</t>
    </rPh>
    <rPh sb="4" eb="5">
      <t>シャ</t>
    </rPh>
    <rPh sb="5" eb="7">
      <t>シメイ</t>
    </rPh>
    <phoneticPr fontId="1"/>
  </si>
  <si>
    <t>連絡責任者ＦＡＸ番号（申請時の内容が自動転記）</t>
    <rPh sb="0" eb="2">
      <t>レンラク</t>
    </rPh>
    <rPh sb="2" eb="4">
      <t>セキニン</t>
    </rPh>
    <rPh sb="4" eb="5">
      <t>シャ</t>
    </rPh>
    <rPh sb="8" eb="10">
      <t>バンゴウ</t>
    </rPh>
    <phoneticPr fontId="1"/>
  </si>
  <si>
    <t>連絡責任者メールアドレス（申請時の内容が自動転記）</t>
    <rPh sb="0" eb="2">
      <t>レンラク</t>
    </rPh>
    <rPh sb="2" eb="4">
      <t>セキニン</t>
    </rPh>
    <rPh sb="4" eb="5">
      <t>シャ</t>
    </rPh>
    <phoneticPr fontId="1"/>
  </si>
  <si>
    <t>自己資金</t>
    <rPh sb="0" eb="2">
      <t>ジコ</t>
    </rPh>
    <rPh sb="2" eb="4">
      <t>シキン</t>
    </rPh>
    <phoneticPr fontId="1"/>
  </si>
  <si>
    <t>地域の底力発展事業助成金</t>
    <rPh sb="0" eb="2">
      <t>チイキ</t>
    </rPh>
    <rPh sb="3" eb="11">
      <t>ソコヂカラハッテンジギョウジョセイ</t>
    </rPh>
    <rPh sb="11" eb="12">
      <t>キン</t>
    </rPh>
    <phoneticPr fontId="1"/>
  </si>
  <si>
    <t>第７号様式</t>
    <rPh sb="0" eb="1">
      <t>ダイ</t>
    </rPh>
    <rPh sb="2" eb="3">
      <t>ゴウ</t>
    </rPh>
    <rPh sb="3" eb="5">
      <t>ヨウシキ</t>
    </rPh>
    <phoneticPr fontId="1"/>
  </si>
  <si>
    <t>変更承認申請書</t>
    <rPh sb="0" eb="2">
      <t>ヘンコウ</t>
    </rPh>
    <rPh sb="2" eb="4">
      <t>ショウニン</t>
    </rPh>
    <rPh sb="4" eb="6">
      <t>シンセイ</t>
    </rPh>
    <rPh sb="6" eb="7">
      <t>ショ</t>
    </rPh>
    <phoneticPr fontId="1"/>
  </si>
  <si>
    <t>助成事業名</t>
    <rPh sb="0" eb="2">
      <t>ジョセイ</t>
    </rPh>
    <rPh sb="2" eb="4">
      <t>ジギョウ</t>
    </rPh>
    <rPh sb="4" eb="5">
      <t>メイ</t>
    </rPh>
    <phoneticPr fontId="1"/>
  </si>
  <si>
    <t>変更の内容</t>
    <rPh sb="0" eb="2">
      <t>ヘンコウ</t>
    </rPh>
    <rPh sb="3" eb="5">
      <t>ナイヨウ</t>
    </rPh>
    <phoneticPr fontId="1"/>
  </si>
  <si>
    <t>変更の理由</t>
    <rPh sb="0" eb="2">
      <t>ヘンコウ</t>
    </rPh>
    <rPh sb="3" eb="5">
      <t>リユウ</t>
    </rPh>
    <phoneticPr fontId="1"/>
  </si>
  <si>
    <t>変更に伴う経費の積算明細書（※経費に変更がある場合）</t>
    <rPh sb="0" eb="2">
      <t>ヘンコウ</t>
    </rPh>
    <rPh sb="3" eb="4">
      <t>トモナ</t>
    </rPh>
    <rPh sb="5" eb="7">
      <t>ケイヒ</t>
    </rPh>
    <rPh sb="8" eb="10">
      <t>セキサン</t>
    </rPh>
    <rPh sb="10" eb="13">
      <t>メイサイショ</t>
    </rPh>
    <rPh sb="15" eb="17">
      <t>ケイヒ</t>
    </rPh>
    <rPh sb="18" eb="20">
      <t>ヘンコウ</t>
    </rPh>
    <rPh sb="23" eb="25">
      <t>バアイ</t>
    </rPh>
    <phoneticPr fontId="1"/>
  </si>
  <si>
    <t>所在地等（郵便番号以降）</t>
    <rPh sb="0" eb="4">
      <t>ショザイチトウ</t>
    </rPh>
    <rPh sb="5" eb="9">
      <t>ユウビンバンゴウ</t>
    </rPh>
    <rPh sb="9" eb="11">
      <t>イコウ</t>
    </rPh>
    <phoneticPr fontId="1"/>
  </si>
  <si>
    <t>連絡責任者所在地等（郵便番号以降）</t>
    <rPh sb="0" eb="5">
      <t>レンラクセキニンシャ</t>
    </rPh>
    <rPh sb="5" eb="8">
      <t>ショザイチ</t>
    </rPh>
    <rPh sb="8" eb="9">
      <t>トウ</t>
    </rPh>
    <phoneticPr fontId="1"/>
  </si>
  <si>
    <t>所在地等（郵便番号）（申請時の内容が自動転記）</t>
    <rPh sb="11" eb="14">
      <t>シンセイジ</t>
    </rPh>
    <rPh sb="15" eb="17">
      <t>ナイヨウ</t>
    </rPh>
    <rPh sb="18" eb="22">
      <t>ジドウテンキ</t>
    </rPh>
    <phoneticPr fontId="1"/>
  </si>
  <si>
    <t>所在地等（郵便番号以降）（申請時の内容が自動転記）</t>
    <rPh sb="0" eb="4">
      <t>ショザイチトウ</t>
    </rPh>
    <rPh sb="5" eb="9">
      <t>ユウビンバンゴウ</t>
    </rPh>
    <rPh sb="9" eb="11">
      <t>イコウ</t>
    </rPh>
    <rPh sb="13" eb="16">
      <t>シンセイジ</t>
    </rPh>
    <rPh sb="17" eb="19">
      <t>ナイヨウ</t>
    </rPh>
    <rPh sb="20" eb="22">
      <t>ジドウ</t>
    </rPh>
    <rPh sb="22" eb="24">
      <t>テンキ</t>
    </rPh>
    <phoneticPr fontId="1"/>
  </si>
  <si>
    <t>連絡責任者所在地等（郵便番号）（申請時の内容が自動転記）</t>
    <rPh sb="0" eb="5">
      <t>レンラクセキニンシャ</t>
    </rPh>
    <rPh sb="5" eb="8">
      <t>ショザイチ</t>
    </rPh>
    <rPh sb="8" eb="9">
      <t>トウ</t>
    </rPh>
    <rPh sb="10" eb="14">
      <t>ユウビンバンゴウ</t>
    </rPh>
    <phoneticPr fontId="1"/>
  </si>
  <si>
    <t>連絡責任者所在地等（郵便番号以降）（申請時の内容が自動転記）</t>
    <rPh sb="0" eb="5">
      <t>レンラクセキニンシャ</t>
    </rPh>
    <rPh sb="5" eb="8">
      <t>ショザイチ</t>
    </rPh>
    <rPh sb="8" eb="9">
      <t>トウ</t>
    </rPh>
    <rPh sb="10" eb="14">
      <t>ユウビンバンゴウ</t>
    </rPh>
    <rPh sb="14" eb="16">
      <t>イコウ</t>
    </rPh>
    <phoneticPr fontId="1"/>
  </si>
  <si>
    <t>今回申請する区分</t>
    <phoneticPr fontId="1"/>
  </si>
  <si>
    <t>助成率</t>
    <phoneticPr fontId="1"/>
  </si>
  <si>
    <t>助成申請額</t>
    <phoneticPr fontId="1"/>
  </si>
  <si>
    <t>概算払の希望の有無</t>
    <phoneticPr fontId="1"/>
  </si>
  <si>
    <t>団体概要</t>
    <phoneticPr fontId="1"/>
  </si>
  <si>
    <t>会員世帯数</t>
    <phoneticPr fontId="1"/>
  </si>
  <si>
    <t>構成団体数</t>
    <phoneticPr fontId="1"/>
  </si>
  <si>
    <t>共同実施団体（Ｃ区分の場合）、連携先団体（Ｄ区分の場合）については、別紙のとおり</t>
    <phoneticPr fontId="1"/>
  </si>
  <si>
    <t>Ａ　地域の課題解決のための取組</t>
    <phoneticPr fontId="1"/>
  </si>
  <si>
    <t>Ｂ－１　防災・節電活動</t>
    <phoneticPr fontId="1"/>
  </si>
  <si>
    <t>Ｂ－２　子ども・若者育成支援</t>
    <phoneticPr fontId="1"/>
  </si>
  <si>
    <t>Ｂ－３　高齢者等の見守り活動</t>
    <phoneticPr fontId="1"/>
  </si>
  <si>
    <t>Ｂ－４　防犯活動</t>
    <phoneticPr fontId="1"/>
  </si>
  <si>
    <t>Ｂ－５　多文化共生社会づくり</t>
    <phoneticPr fontId="1"/>
  </si>
  <si>
    <t>Ｂ－Ｓ　デジタル活用支援</t>
    <phoneticPr fontId="1"/>
  </si>
  <si>
    <t>Ｃ　複数の単一町会・自治会が共同して実施する取組</t>
    <phoneticPr fontId="1"/>
  </si>
  <si>
    <t>Ｄ　単一の町会・自治会が他の地域団体と連携して実施する取組</t>
    <phoneticPr fontId="1"/>
  </si>
  <si>
    <t>交付決定年月日</t>
    <rPh sb="0" eb="2">
      <t>コウフ</t>
    </rPh>
    <rPh sb="2" eb="4">
      <t>ケッテイ</t>
    </rPh>
    <rPh sb="4" eb="7">
      <t>ネンガッピ</t>
    </rPh>
    <phoneticPr fontId="1"/>
  </si>
  <si>
    <t>別紙　変更に伴う経費の積算明細書</t>
    <rPh sb="0" eb="2">
      <t>ベッシ</t>
    </rPh>
    <phoneticPr fontId="17"/>
  </si>
  <si>
    <t xml:space="preserve">団　　体　　名 </t>
    <rPh sb="0" eb="1">
      <t>ダン</t>
    </rPh>
    <rPh sb="3" eb="4">
      <t>カラダ</t>
    </rPh>
    <rPh sb="6" eb="7">
      <t>メイ</t>
    </rPh>
    <phoneticPr fontId="17"/>
  </si>
  <si>
    <t>申請時</t>
    <rPh sb="0" eb="2">
      <t>シンセイ</t>
    </rPh>
    <rPh sb="2" eb="3">
      <t>ジ</t>
    </rPh>
    <phoneticPr fontId="17"/>
  </si>
  <si>
    <t>変更後</t>
    <rPh sb="0" eb="2">
      <t>ヘンコウ</t>
    </rPh>
    <rPh sb="2" eb="3">
      <t>ゴ</t>
    </rPh>
    <phoneticPr fontId="17"/>
  </si>
  <si>
    <t>差額</t>
    <rPh sb="0" eb="2">
      <t>サガク</t>
    </rPh>
    <phoneticPr fontId="17"/>
  </si>
  <si>
    <t>変更理由</t>
    <rPh sb="0" eb="2">
      <t>ヘンコウ</t>
    </rPh>
    <rPh sb="2" eb="4">
      <t>リユウ</t>
    </rPh>
    <phoneticPr fontId="17"/>
  </si>
  <si>
    <t>金額（税込）</t>
    <rPh sb="0" eb="2">
      <t>キンガク</t>
    </rPh>
    <rPh sb="3" eb="5">
      <t>ゼイコミ</t>
    </rPh>
    <phoneticPr fontId="17"/>
  </si>
  <si>
    <t>助成対象経費</t>
    <rPh sb="0" eb="2">
      <t>ジョセイ</t>
    </rPh>
    <rPh sb="2" eb="4">
      <t>タイショウ</t>
    </rPh>
    <rPh sb="4" eb="6">
      <t>ケイヒ</t>
    </rPh>
    <phoneticPr fontId="17"/>
  </si>
  <si>
    <t>(7)　レンタル・リース料</t>
    <rPh sb="12" eb="13">
      <t>リョウ</t>
    </rPh>
    <phoneticPr fontId="17"/>
  </si>
  <si>
    <t>計</t>
    <rPh sb="0" eb="1">
      <t>ケイ</t>
    </rPh>
    <phoneticPr fontId="17"/>
  </si>
  <si>
    <t>変更に伴う経費の積算明細書（※経費に変更がある場合）</t>
    <phoneticPr fontId="1"/>
  </si>
  <si>
    <t xml:space="preserve">令和　　年　　月　　日  </t>
    <rPh sb="0" eb="2">
      <t>レイワ</t>
    </rPh>
    <rPh sb="4" eb="5">
      <t>ネン</t>
    </rPh>
    <rPh sb="7" eb="8">
      <t>ガツ</t>
    </rPh>
    <rPh sb="10" eb="11">
      <t>ヒ</t>
    </rPh>
    <phoneticPr fontId="1"/>
  </si>
  <si>
    <t>※１　適用される助成率は「チェックシート」により御確認ください。</t>
    <rPh sb="3" eb="5">
      <t>テキヨウ</t>
    </rPh>
    <phoneticPr fontId="1"/>
  </si>
  <si>
    <t>○適用される助成率に関するチェックシート</t>
    <rPh sb="1" eb="3">
      <t>テキヨウ</t>
    </rPh>
    <rPh sb="6" eb="8">
      <t>ジョセイ</t>
    </rPh>
    <rPh sb="8" eb="9">
      <t>リツ</t>
    </rPh>
    <rPh sb="10" eb="11">
      <t>カン</t>
    </rPh>
    <phoneticPr fontId="1"/>
  </si>
  <si>
    <t>今まで交付決定を受けたことがありますか（Ｃ区分の共同実施団体含む）</t>
    <rPh sb="0" eb="1">
      <t>イマ</t>
    </rPh>
    <rPh sb="3" eb="5">
      <t>コウフ</t>
    </rPh>
    <rPh sb="5" eb="7">
      <t>ケッテイ</t>
    </rPh>
    <rPh sb="8" eb="9">
      <t>ウ</t>
    </rPh>
    <rPh sb="21" eb="23">
      <t>クブン</t>
    </rPh>
    <rPh sb="24" eb="26">
      <t>キョウドウ</t>
    </rPh>
    <rPh sb="26" eb="28">
      <t>ジッシ</t>
    </rPh>
    <rPh sb="28" eb="30">
      <t>ダンタイ</t>
    </rPh>
    <rPh sb="30" eb="31">
      <t>フク</t>
    </rPh>
    <phoneticPr fontId="1"/>
  </si>
  <si>
    <t>今回申請する区分は何ですか</t>
    <rPh sb="0" eb="2">
      <t>コンカイ</t>
    </rPh>
    <rPh sb="2" eb="4">
      <t>シンセイ</t>
    </rPh>
    <rPh sb="6" eb="8">
      <t>クブン</t>
    </rPh>
    <rPh sb="9" eb="10">
      <t>ナン</t>
    </rPh>
    <phoneticPr fontId="1"/>
  </si>
  <si>
    <t>助成率は「10/10」です</t>
    <rPh sb="0" eb="2">
      <t>ジョセイ</t>
    </rPh>
    <rPh sb="2" eb="3">
      <t>リツ</t>
    </rPh>
    <phoneticPr fontId="1"/>
  </si>
  <si>
    <t>↓</t>
    <phoneticPr fontId="1"/>
  </si>
  <si>
    <t>↓実施する</t>
    <rPh sb="1" eb="3">
      <t>ジッシ</t>
    </rPh>
    <phoneticPr fontId="1"/>
  </si>
  <si>
    <t>↓実施しない</t>
    <rPh sb="1" eb="3">
      <t>ジッシ</t>
    </rPh>
    <phoneticPr fontId="1"/>
  </si>
  <si>
    <t>助成率は「1/2」です</t>
    <rPh sb="0" eb="2">
      <t>ジョセイ</t>
    </rPh>
    <rPh sb="2" eb="3">
      <t>リツ</t>
    </rPh>
    <phoneticPr fontId="1"/>
  </si>
  <si>
    <t>↓ない</t>
    <phoneticPr fontId="1"/>
  </si>
  <si>
    <t>収支予算書に謝礼金の計上はありましたか</t>
    <rPh sb="0" eb="2">
      <t>シュウシ</t>
    </rPh>
    <rPh sb="2" eb="5">
      <t>ヨサンショ</t>
    </rPh>
    <rPh sb="10" eb="12">
      <t>ケイジョウ</t>
    </rPh>
    <phoneticPr fontId="1"/>
  </si>
  <si>
    <t>収支予算書に打合せ経費の計上はありましたか</t>
    <rPh sb="0" eb="5">
      <t>シュウシヨサンショ</t>
    </rPh>
    <rPh sb="12" eb="14">
      <t>ケイジョウ</t>
    </rPh>
    <phoneticPr fontId="1"/>
  </si>
  <si>
    <t>収支予算書に物品購入費の計上はありましたか</t>
    <rPh sb="0" eb="5">
      <t>シュウシヨサンショ</t>
    </rPh>
    <rPh sb="12" eb="14">
      <t>ケイジョウ</t>
    </rPh>
    <phoneticPr fontId="1"/>
  </si>
  <si>
    <t>収支予算書に印刷経費の計上はありましたか</t>
    <rPh sb="0" eb="2">
      <t>シュウシ</t>
    </rPh>
    <rPh sb="2" eb="5">
      <t>ヨサンショ</t>
    </rPh>
    <rPh sb="6" eb="8">
      <t>インサツ</t>
    </rPh>
    <rPh sb="8" eb="10">
      <t>ケイヒ</t>
    </rPh>
    <rPh sb="11" eb="13">
      <t>ケイジョウ</t>
    </rPh>
    <phoneticPr fontId="1"/>
  </si>
  <si>
    <t>収支予算書に役務費の計上はありましたか</t>
    <rPh sb="0" eb="5">
      <t>シュウシヨサンショ</t>
    </rPh>
    <rPh sb="10" eb="12">
      <t>ケイジョウ</t>
    </rPh>
    <phoneticPr fontId="1"/>
  </si>
  <si>
    <t>収支予算書に委託料の計上はありましたか</t>
    <rPh sb="0" eb="2">
      <t>シュウシ</t>
    </rPh>
    <rPh sb="2" eb="5">
      <t>ヨサンショ</t>
    </rPh>
    <rPh sb="10" eb="12">
      <t>ケイジョウ</t>
    </rPh>
    <phoneticPr fontId="1"/>
  </si>
  <si>
    <t>収支予算書にレンタル・リース料の計上はありましたか</t>
    <rPh sb="0" eb="5">
      <t>シュウシヨサンショ</t>
    </rPh>
    <rPh sb="16" eb="18">
      <t>ケイジョウ</t>
    </rPh>
    <phoneticPr fontId="1"/>
  </si>
  <si>
    <t>収支予算書に工事費の計上はありましたか</t>
    <rPh sb="0" eb="5">
      <t>シュウシヨサンショ</t>
    </rPh>
    <rPh sb="10" eb="12">
      <t>ケイジョウ</t>
    </rPh>
    <phoneticPr fontId="1"/>
  </si>
  <si>
    <t>収支予算書に助成対象外経費の計上はありましたか</t>
    <rPh sb="0" eb="5">
      <t>シュウシヨサンショ</t>
    </rPh>
    <rPh sb="14" eb="16">
      <t>ケイジョウ</t>
    </rPh>
    <phoneticPr fontId="1"/>
  </si>
  <si>
    <t>収支予算書に参加費、売り上げ、寄付金など、助成金以外の収入の計上はありましたか</t>
    <rPh sb="0" eb="5">
      <t>シュウシヨサンショ</t>
    </rPh>
    <rPh sb="30" eb="32">
      <t>ケイジョウ</t>
    </rPh>
    <phoneticPr fontId="1"/>
  </si>
  <si>
    <r>
      <t>※該当する場合、</t>
    </r>
    <r>
      <rPr>
        <b/>
        <u/>
        <sz val="11"/>
        <color theme="1"/>
        <rFont val="游ゴシック"/>
        <family val="3"/>
        <charset val="128"/>
        <scheme val="minor"/>
      </rPr>
      <t>内容を手入力</t>
    </r>
    <rPh sb="1" eb="3">
      <t>ガイトウ</t>
    </rPh>
    <rPh sb="5" eb="7">
      <t>バアイ</t>
    </rPh>
    <rPh sb="8" eb="10">
      <t>ナイヨウ</t>
    </rPh>
    <rPh sb="11" eb="12">
      <t>テ</t>
    </rPh>
    <rPh sb="12" eb="14">
      <t>ニュウリョク</t>
    </rPh>
    <phoneticPr fontId="1"/>
  </si>
  <si>
    <t>令和７年度 地域の底力発展事業助成 事業計画書</t>
    <phoneticPr fontId="1"/>
  </si>
  <si>
    <t>令和７年度地域の底力発展事業助成金交付申請書</t>
    <rPh sb="0" eb="2">
      <t>レイワ</t>
    </rPh>
    <rPh sb="3" eb="5">
      <t>ネンド</t>
    </rPh>
    <rPh sb="5" eb="7">
      <t>チイキ</t>
    </rPh>
    <rPh sb="8" eb="10">
      <t>ソコヂカラ</t>
    </rPh>
    <rPh sb="10" eb="12">
      <t>ハッテン</t>
    </rPh>
    <rPh sb="12" eb="14">
      <t>ジギョウ</t>
    </rPh>
    <rPh sb="14" eb="16">
      <t>ジョセイ</t>
    </rPh>
    <rPh sb="16" eb="17">
      <t>キン</t>
    </rPh>
    <rPh sb="17" eb="19">
      <t>コウフ</t>
    </rPh>
    <rPh sb="19" eb="22">
      <t>シンセイショ</t>
    </rPh>
    <phoneticPr fontId="1"/>
  </si>
  <si>
    <t>ー</t>
    <phoneticPr fontId="1"/>
  </si>
  <si>
    <t>概要（地域の課題解決）</t>
    <rPh sb="0" eb="2">
      <t>ガイヨウ</t>
    </rPh>
    <rPh sb="3" eb="5">
      <t>チイキ</t>
    </rPh>
    <rPh sb="6" eb="8">
      <t>カダイ</t>
    </rPh>
    <rPh sb="8" eb="10">
      <t>カイケツ</t>
    </rPh>
    <phoneticPr fontId="1"/>
  </si>
  <si>
    <t>概要（子ども・若者育成支援）</t>
    <phoneticPr fontId="1"/>
  </si>
  <si>
    <t>概要（高齢者等見守り）</t>
    <phoneticPr fontId="1"/>
  </si>
  <si>
    <t>概要（防犯）</t>
    <phoneticPr fontId="1"/>
  </si>
  <si>
    <t>概要（デジタル活用支援）</t>
    <phoneticPr fontId="1"/>
  </si>
  <si>
    <t>※該当する区分欄の１か所のみに○を付けてください。</t>
    <phoneticPr fontId="1"/>
  </si>
  <si>
    <t>円</t>
    <phoneticPr fontId="1"/>
  </si>
  <si>
    <t>世帯</t>
    <phoneticPr fontId="1"/>
  </si>
  <si>
    <t>団体</t>
    <phoneticPr fontId="1"/>
  </si>
  <si>
    <t>代表者
役職・氏名</t>
    <phoneticPr fontId="1"/>
  </si>
  <si>
    <t>(助成率の特例の活用)</t>
    <rPh sb="1" eb="3">
      <t>ジョセイ</t>
    </rPh>
    <rPh sb="2" eb="3">
      <t>リツ</t>
    </rPh>
    <rPh sb="5" eb="7">
      <t>トクレイ</t>
    </rPh>
    <rPh sb="8" eb="10">
      <t>カツヨウ</t>
    </rPh>
    <phoneticPr fontId="1"/>
  </si>
  <si>
    <t>参加予定
人数</t>
    <rPh sb="0" eb="2">
      <t>サンカ</t>
    </rPh>
    <rPh sb="2" eb="4">
      <t>ヨテイ</t>
    </rPh>
    <rPh sb="5" eb="7">
      <t>ニンズウ</t>
    </rPh>
    <phoneticPr fontId="1"/>
  </si>
  <si>
    <t>事業の
名称</t>
    <rPh sb="0" eb="2">
      <t>ジギョウ</t>
    </rPh>
    <rPh sb="4" eb="6">
      <t>メイショウ</t>
    </rPh>
    <phoneticPr fontId="1"/>
  </si>
  <si>
    <t>反省会
実施日</t>
    <rPh sb="0" eb="2">
      <t>ハンセイ</t>
    </rPh>
    <rPh sb="2" eb="3">
      <t>カイ</t>
    </rPh>
    <rPh sb="4" eb="6">
      <t>ジッシ</t>
    </rPh>
    <rPh sb="6" eb="7">
      <t>ビ</t>
    </rPh>
    <phoneticPr fontId="1"/>
  </si>
  <si>
    <t>打合せ
人数</t>
    <rPh sb="0" eb="2">
      <t>ウチアワ</t>
    </rPh>
    <rPh sb="4" eb="6">
      <t>ニンズウ</t>
    </rPh>
    <phoneticPr fontId="1"/>
  </si>
  <si>
    <t>災害時には外国人住民にも分かりやすい呼びかけ等が必要なことについて、町会や住民の</t>
    <phoneticPr fontId="1"/>
  </si>
  <si>
    <t>理解が進んだ。</t>
    <phoneticPr fontId="1"/>
  </si>
  <si>
    <t>)※把握している範囲で記入してください。</t>
    <rPh sb="2" eb="4">
      <t>ハアク</t>
    </rPh>
    <rPh sb="8" eb="10">
      <t>ハンイ</t>
    </rPh>
    <rPh sb="11" eb="13">
      <t>キニュウ</t>
    </rPh>
    <phoneticPr fontId="1"/>
  </si>
  <si>
    <t>ことができた。</t>
    <phoneticPr fontId="1"/>
  </si>
  <si>
    <t>多文化共生
社会づくり</t>
    <rPh sb="0" eb="3">
      <t>タブンカ</t>
    </rPh>
    <rPh sb="3" eb="5">
      <t>キョウセイ</t>
    </rPh>
    <rPh sb="6" eb="8">
      <t>シャカイ</t>
    </rPh>
    <phoneticPr fontId="1"/>
  </si>
  <si>
    <t>別添のとおり</t>
    <phoneticPr fontId="1"/>
  </si>
  <si>
    <t>　実施した取組について</t>
    <rPh sb="1" eb="3">
      <t>ジッシ</t>
    </rPh>
    <rPh sb="5" eb="7">
      <t>トリクミ</t>
    </rPh>
    <phoneticPr fontId="1"/>
  </si>
  <si>
    <t>　効果及び課題</t>
    <rPh sb="1" eb="3">
      <t>コウカ</t>
    </rPh>
    <rPh sb="3" eb="4">
      <t>オヨ</t>
    </rPh>
    <rPh sb="5" eb="7">
      <t>カダイ</t>
    </rPh>
    <phoneticPr fontId="1"/>
  </si>
  <si>
    <t>地域防災力
の強化</t>
    <rPh sb="0" eb="2">
      <t>チイキ</t>
    </rPh>
    <rPh sb="2" eb="4">
      <t>ボウサイ</t>
    </rPh>
    <rPh sb="4" eb="5">
      <t>リョク</t>
    </rPh>
    <rPh sb="7" eb="9">
      <t>キョウカ</t>
    </rPh>
    <phoneticPr fontId="1"/>
  </si>
  <si>
    <t>住民間の交流が活発になり、住民同士が顔の見える関係になることで、地域のつながりを</t>
    <phoneticPr fontId="1"/>
  </si>
  <si>
    <t>強化することができた。</t>
    <phoneticPr fontId="1"/>
  </si>
  <si>
    <t xml:space="preserve">地域の課題に対する住民の意識が高まり、地域ぐるみで課題解決に向けた活動を展開する
</t>
    <phoneticPr fontId="1"/>
  </si>
  <si>
    <t>事業助成金交付要綱第１８の規定に基づき、関係資料を添えて下記のとおり報告します。</t>
    <phoneticPr fontId="1"/>
  </si>
  <si>
    <t>について、下記のとおり内容を変更したいので、令和７年度地域の底力発展事業助成金交付要綱</t>
    <phoneticPr fontId="1"/>
  </si>
  <si>
    <t>第１３　１の規定に基づき、申請します。</t>
    <rPh sb="13" eb="15">
      <t>シンセイ</t>
    </rPh>
    <phoneticPr fontId="1"/>
  </si>
  <si>
    <t>電話番号</t>
    <phoneticPr fontId="1"/>
  </si>
  <si>
    <t>氏名</t>
    <rPh sb="0" eb="2">
      <t>シメイ</t>
    </rPh>
    <phoneticPr fontId="1"/>
  </si>
  <si>
    <t>役職</t>
    <rPh sb="0" eb="2">
      <t>ヤクショク</t>
    </rPh>
    <phoneticPr fontId="1"/>
  </si>
  <si>
    <t>メール
アドレス</t>
    <phoneticPr fontId="1"/>
  </si>
  <si>
    <t>（連絡責任者）</t>
    <rPh sb="1" eb="3">
      <t>レンラク</t>
    </rPh>
    <rPh sb="3" eb="5">
      <t>セキニン</t>
    </rPh>
    <rPh sb="5" eb="6">
      <t>シャ</t>
    </rPh>
    <phoneticPr fontId="1"/>
  </si>
  <si>
    <t>※申請を行う町会・自治会又は区市町村の担当者に限ります。</t>
    <phoneticPr fontId="1"/>
  </si>
  <si>
    <t>代表者
役職・氏名</t>
    <phoneticPr fontId="1"/>
  </si>
  <si>
    <t>役職</t>
    <rPh sb="0" eb="2">
      <t>ヤクショク</t>
    </rPh>
    <phoneticPr fontId="1"/>
  </si>
  <si>
    <t>所在地等</t>
    <rPh sb="0" eb="3">
      <t>ショザイチ</t>
    </rPh>
    <rPh sb="3" eb="4">
      <t>トウ</t>
    </rPh>
    <phoneticPr fontId="1"/>
  </si>
  <si>
    <t>メール
アドレス</t>
    <phoneticPr fontId="1"/>
  </si>
  <si>
    <t>氏名</t>
    <rPh sb="0" eb="2">
      <t>シメイ</t>
    </rPh>
    <phoneticPr fontId="1"/>
  </si>
  <si>
    <t>（連絡責任者）</t>
    <rPh sb="1" eb="3">
      <t>レンラク</t>
    </rPh>
    <rPh sb="3" eb="5">
      <t>セキニン</t>
    </rPh>
    <rPh sb="5" eb="6">
      <t>シャ</t>
    </rPh>
    <phoneticPr fontId="1"/>
  </si>
  <si>
    <t>代表者
役職・氏名</t>
    <rPh sb="0" eb="2">
      <t>ダイヒョウ</t>
    </rPh>
    <rPh sb="2" eb="3">
      <t>シャ</t>
    </rPh>
    <rPh sb="4" eb="6">
      <t>ヤクショク</t>
    </rPh>
    <rPh sb="7" eb="9">
      <t>シメイ</t>
    </rPh>
    <phoneticPr fontId="1"/>
  </si>
  <si>
    <t>所在地等</t>
    <rPh sb="0" eb="3">
      <t>ショザイチ</t>
    </rPh>
    <rPh sb="3" eb="4">
      <t>トウ</t>
    </rPh>
    <phoneticPr fontId="1"/>
  </si>
  <si>
    <t>ＦＡＸ番号</t>
    <phoneticPr fontId="1"/>
  </si>
  <si>
    <t>ＦＡＸ番号</t>
    <phoneticPr fontId="1"/>
  </si>
  <si>
    <t>（連絡責任者）</t>
    <rPh sb="1" eb="6">
      <t>レンラクセキニンシャ</t>
    </rPh>
    <phoneticPr fontId="1"/>
  </si>
  <si>
    <t>事業規模(参加者数)</t>
    <rPh sb="0" eb="2">
      <t>ジギョウ</t>
    </rPh>
    <rPh sb="2" eb="4">
      <t>キボ</t>
    </rPh>
    <rPh sb="5" eb="7">
      <t>サンカ</t>
    </rPh>
    <rPh sb="7" eb="8">
      <t>シャ</t>
    </rPh>
    <rPh sb="8" eb="9">
      <t>スウ</t>
    </rPh>
    <phoneticPr fontId="1"/>
  </si>
  <si>
    <t>に基づき下記のとおり申請します。</t>
    <phoneticPr fontId="1"/>
  </si>
  <si>
    <t>　なお、当団体は要綱第４　１ただし書に該当せず、第９　３並びに第２２及び第２３の規定に異議なく応じ</t>
    <rPh sb="47" eb="48">
      <t>オウ</t>
    </rPh>
    <phoneticPr fontId="1"/>
  </si>
  <si>
    <t>ることを誓約します。</t>
    <phoneticPr fontId="1"/>
  </si>
  <si>
    <t>※２　助成率の特例は「地域防災力の強化」かつ「多文化共生社会づくり」につながる活動を行うことで</t>
    <rPh sb="42" eb="43">
      <t>オコナ</t>
    </rPh>
    <phoneticPr fontId="1"/>
  </si>
  <si>
    <t>　　活用することができます。</t>
    <phoneticPr fontId="1"/>
  </si>
  <si>
    <t>※　概算払を希望した場合、交付決定額の７割を上限として、交付決定の約２か月後に助成金を受け取る</t>
    <rPh sb="43" eb="44">
      <t>ウ</t>
    </rPh>
    <rPh sb="45" eb="46">
      <t>ト</t>
    </rPh>
    <phoneticPr fontId="1"/>
  </si>
  <si>
    <t>　ことができます（交付決定から２カ月以内に完了する事業は対象となりません）。</t>
    <phoneticPr fontId="1"/>
  </si>
  <si>
    <r>
      <t>【特に効果のあった事項など】</t>
    </r>
    <r>
      <rPr>
        <u/>
        <sz val="12"/>
        <color theme="1"/>
        <rFont val="ＭＳ 明朝"/>
        <family val="1"/>
        <charset val="128"/>
      </rPr>
      <t>※必ず記入してください。</t>
    </r>
    <rPh sb="1" eb="2">
      <t>トク</t>
    </rPh>
    <rPh sb="3" eb="5">
      <t>コウカ</t>
    </rPh>
    <rPh sb="9" eb="11">
      <t>ジコウ</t>
    </rPh>
    <rPh sb="15" eb="16">
      <t>カナラ</t>
    </rPh>
    <rPh sb="17" eb="19">
      <t>キニュウ</t>
    </rPh>
    <phoneticPr fontId="1"/>
  </si>
  <si>
    <t>期待される
効果</t>
    <rPh sb="0" eb="2">
      <t>キタイ</t>
    </rPh>
    <rPh sb="6" eb="8">
      <t>コウカ</t>
    </rPh>
    <phoneticPr fontId="1"/>
  </si>
  <si>
    <t>申請に当たって、以下の点をチェックしてください</t>
    <rPh sb="0" eb="2">
      <t>シンセイ</t>
    </rPh>
    <rPh sb="3" eb="4">
      <t>ア</t>
    </rPh>
    <rPh sb="8" eb="10">
      <t>イカ</t>
    </rPh>
    <rPh sb="11" eb="12">
      <t>テン</t>
    </rPh>
    <phoneticPr fontId="1"/>
  </si>
  <si>
    <t>②助成対象経費として申請する物品は、備蓄用や事業で使用した物品等の補充・補てんに要するものではない</t>
    <phoneticPr fontId="1"/>
  </si>
  <si>
    <t>・交付決定時期より前に終了している事業</t>
    <phoneticPr fontId="1"/>
  </si>
  <si>
    <t>・物品の購入や施設整備を目的とした事業</t>
    <phoneticPr fontId="1"/>
  </si>
  <si>
    <t>・娯楽や式典を主な目的とする事業</t>
    <phoneticPr fontId="1"/>
  </si>
  <si>
    <t>・神事や仏事の実施を目的とする事業</t>
    <phoneticPr fontId="1"/>
  </si>
  <si>
    <t>・参加の機会が一部の住民のみに限られる事業</t>
    <phoneticPr fontId="1"/>
  </si>
  <si>
    <t>・東京都外で実施する事業</t>
    <phoneticPr fontId="1"/>
  </si>
  <si>
    <t>・周年記念だけを目的とする事業</t>
    <phoneticPr fontId="1"/>
  </si>
  <si>
    <t>・営利を目的とする事業</t>
    <phoneticPr fontId="1"/>
  </si>
  <si>
    <t>・東京都における他の補助金、国や他の地方自治体からの助成金などを受けて実施する事業</t>
    <phoneticPr fontId="1"/>
  </si>
  <si>
    <t>←確認の上、「含んでいない」をプルダウンから選んでください</t>
    <rPh sb="1" eb="3">
      <t>カクニン</t>
    </rPh>
    <rPh sb="4" eb="5">
      <t>ウエ</t>
    </rPh>
    <rPh sb="7" eb="8">
      <t>フク</t>
    </rPh>
    <rPh sb="22" eb="23">
      <t>エラ</t>
    </rPh>
    <phoneticPr fontId="1"/>
  </si>
  <si>
    <t>←確認の上、☑をプルダウンから選択してください</t>
    <rPh sb="1" eb="3">
      <t>カクニン</t>
    </rPh>
    <rPh sb="4" eb="5">
      <t>ウエ</t>
    </rPh>
    <rPh sb="15" eb="17">
      <t>センタク</t>
    </rPh>
    <phoneticPr fontId="1"/>
  </si>
  <si>
    <t>・アルコール類</t>
    <rPh sb="6" eb="7">
      <t>ルイ</t>
    </rPh>
    <phoneticPr fontId="1"/>
  </si>
  <si>
    <t>・打合せの場で提供される食事、茶菓子、お弁当などの飲食費</t>
    <phoneticPr fontId="1"/>
  </si>
  <si>
    <t>③申請する内容には、以下に掲げる助成対象とならない事業・経費を含んでいない</t>
    <rPh sb="28" eb="30">
      <t>ケイヒ</t>
    </rPh>
    <phoneticPr fontId="1"/>
  </si>
  <si>
    <t>支出内容（事業での活用方法が分かるよう記載）</t>
    <rPh sb="0" eb="2">
      <t>シシュツ</t>
    </rPh>
    <rPh sb="2" eb="4">
      <t>ナイヨウ</t>
    </rPh>
    <rPh sb="5" eb="7">
      <t>ジギョウ</t>
    </rPh>
    <rPh sb="9" eb="11">
      <t>カツヨウ</t>
    </rPh>
    <rPh sb="11" eb="13">
      <t>ホウホウ</t>
    </rPh>
    <rPh sb="14" eb="15">
      <t>ワ</t>
    </rPh>
    <rPh sb="19" eb="21">
      <t>キサイ</t>
    </rPh>
    <phoneticPr fontId="17"/>
  </si>
  <si>
    <t>※　金額が５万円を超える経費は、見積書、引受書等の金額の根拠が分かるものを添付してください。</t>
    <rPh sb="2" eb="4">
      <t>キンガク</t>
    </rPh>
    <rPh sb="6" eb="8">
      <t>マンエン</t>
    </rPh>
    <rPh sb="9" eb="10">
      <t>コ</t>
    </rPh>
    <rPh sb="12" eb="14">
      <t>ケイヒ</t>
    </rPh>
    <rPh sb="16" eb="19">
      <t>ミツモリショ</t>
    </rPh>
    <rPh sb="20" eb="21">
      <t>ヒ</t>
    </rPh>
    <rPh sb="21" eb="22">
      <t>ウ</t>
    </rPh>
    <rPh sb="22" eb="23">
      <t>ショ</t>
    </rPh>
    <rPh sb="23" eb="24">
      <t>トウ</t>
    </rPh>
    <rPh sb="25" eb="27">
      <t>キンガク</t>
    </rPh>
    <rPh sb="28" eb="30">
      <t>コンキョ</t>
    </rPh>
    <rPh sb="31" eb="32">
      <t>ワ</t>
    </rPh>
    <rPh sb="37" eb="39">
      <t>テンプ</t>
    </rPh>
    <phoneticPr fontId="1"/>
  </si>
  <si>
    <r>
      <t xml:space="preserve">電話番号
</t>
    </r>
    <r>
      <rPr>
        <sz val="8"/>
        <color theme="1"/>
        <rFont val="ＭＳ 明朝"/>
        <family val="1"/>
        <charset val="128"/>
      </rPr>
      <t>(①自宅/職場)</t>
    </r>
    <r>
      <rPr>
        <sz val="11"/>
        <color theme="1"/>
        <rFont val="ＭＳ 明朝"/>
        <family val="1"/>
        <charset val="128"/>
      </rPr>
      <t xml:space="preserve">
</t>
    </r>
    <r>
      <rPr>
        <sz val="8"/>
        <color theme="1"/>
        <rFont val="ＭＳ 明朝"/>
        <family val="1"/>
        <charset val="128"/>
      </rPr>
      <t>(②携帯電話)</t>
    </r>
    <rPh sb="7" eb="9">
      <t>ジタク</t>
    </rPh>
    <rPh sb="10" eb="12">
      <t>ショクバ</t>
    </rPh>
    <rPh sb="16" eb="20">
      <t>ケイタイデンワ</t>
    </rPh>
    <phoneticPr fontId="1"/>
  </si>
  <si>
    <t>※　第３号様式「収支予算書」の助成金収入と同額を
　記入（千円単位。端数は切捨て）</t>
    <phoneticPr fontId="1"/>
  </si>
  <si>
    <t>連絡責任者電話番号(自宅・職場)(申請時の内容が自動転記)</t>
    <rPh sb="0" eb="2">
      <t>レンラク</t>
    </rPh>
    <rPh sb="2" eb="4">
      <t>セキニン</t>
    </rPh>
    <rPh sb="4" eb="5">
      <t>シャ</t>
    </rPh>
    <rPh sb="5" eb="7">
      <t>デンワ</t>
    </rPh>
    <rPh sb="7" eb="9">
      <t>バンゴウ</t>
    </rPh>
    <rPh sb="10" eb="12">
      <t>ジタク</t>
    </rPh>
    <rPh sb="13" eb="15">
      <t>ショクバ</t>
    </rPh>
    <phoneticPr fontId="1"/>
  </si>
  <si>
    <t>連絡責任者電話番号(携帯電話)(申請時の内容が自動転記)</t>
    <rPh sb="16" eb="19">
      <t>シンセイジ</t>
    </rPh>
    <rPh sb="20" eb="22">
      <t>ナイヨウ</t>
    </rPh>
    <rPh sb="23" eb="25">
      <t>ジドウ</t>
    </rPh>
    <rPh sb="25" eb="27">
      <t>テンキ</t>
    </rPh>
    <phoneticPr fontId="1"/>
  </si>
  <si>
    <t>※地区連や町自連など連合で申請の場合のみ記入</t>
    <rPh sb="1" eb="3">
      <t>チク</t>
    </rPh>
    <rPh sb="3" eb="4">
      <t>レン</t>
    </rPh>
    <rPh sb="5" eb="6">
      <t>チョウ</t>
    </rPh>
    <rPh sb="6" eb="7">
      <t>ジ</t>
    </rPh>
    <rPh sb="7" eb="8">
      <t>レン</t>
    </rPh>
    <phoneticPr fontId="1"/>
  </si>
  <si>
    <t>印</t>
    <rPh sb="0" eb="1">
      <t>イン</t>
    </rPh>
    <phoneticPr fontId="1"/>
  </si>
  <si>
    <t>※日中連絡の取れる担当者を連絡責任者にしてください。</t>
    <phoneticPr fontId="1"/>
  </si>
  <si>
    <t>①</t>
    <phoneticPr fontId="1"/>
  </si>
  <si>
    <t>②</t>
    <phoneticPr fontId="1"/>
  </si>
  <si>
    <t>③</t>
    <phoneticPr fontId="1"/>
  </si>
  <si>
    <t>④</t>
    <phoneticPr fontId="1"/>
  </si>
  <si>
    <t>⑤</t>
    <phoneticPr fontId="1"/>
  </si>
  <si>
    <t>⑥</t>
    <phoneticPr fontId="1"/>
  </si>
  <si>
    <t>⑦</t>
    <phoneticPr fontId="1"/>
  </si>
  <si>
    <t>【申請団体、共同又は連携して実施する各団体の役割分担】</t>
    <phoneticPr fontId="1"/>
  </si>
  <si>
    <t>団体名／役割分担</t>
    <rPh sb="0" eb="2">
      <t>ダンタイ</t>
    </rPh>
    <rPh sb="2" eb="3">
      <t>メイ</t>
    </rPh>
    <rPh sb="4" eb="6">
      <t>ヤクワリ</t>
    </rPh>
    <rPh sb="6" eb="8">
      <t>ブンタン</t>
    </rPh>
    <phoneticPr fontId="1"/>
  </si>
  <si>
    <t>　以下の①～⑦に当てはまる・近しいものを下表にチェックを入れてください（複数選択可）。</t>
    <rPh sb="20" eb="22">
      <t>カヒョウ</t>
    </rPh>
    <rPh sb="28" eb="29">
      <t>イ</t>
    </rPh>
    <phoneticPr fontId="1"/>
  </si>
  <si>
    <t>番
号</t>
    <phoneticPr fontId="1"/>
  </si>
  <si>
    <t>団体名
（申請団体以外）</t>
    <phoneticPr fontId="1"/>
  </si>
  <si>
    <t>代表者
役職</t>
    <phoneticPr fontId="1"/>
  </si>
  <si>
    <t>氏名　印
（自署）</t>
    <phoneticPr fontId="1"/>
  </si>
  <si>
    <t>所在地等</t>
    <phoneticPr fontId="1"/>
  </si>
  <si>
    <t>電話番号</t>
    <phoneticPr fontId="1"/>
  </si>
  <si>
    <t>構成
世帯数
(Ｃ区分)</t>
    <phoneticPr fontId="1"/>
  </si>
  <si>
    <t>　下表に記載の共同実施団体・連携実施団体は、地域の底力発展事業助成への申請にあたり、以下のと</t>
    <phoneticPr fontId="1"/>
  </si>
  <si>
    <t>　併せて、下表の団体は、申請団体に対し、地域の底力発展事業助成金の申請、請求、受領及び精算に</t>
    <phoneticPr fontId="1"/>
  </si>
  <si>
    <t>←該当する、近しいものに☑をプルダウンリストから選んでください</t>
    <rPh sb="1" eb="3">
      <t>ガイトウ</t>
    </rPh>
    <rPh sb="6" eb="7">
      <t>チカ</t>
    </rPh>
    <rPh sb="24" eb="25">
      <t>エラ</t>
    </rPh>
    <phoneticPr fontId="1"/>
  </si>
  <si>
    <t>・金券類</t>
    <rPh sb="1" eb="3">
      <t>キンケン</t>
    </rPh>
    <rPh sb="3" eb="4">
      <t>ルイ</t>
    </rPh>
    <phoneticPr fontId="1"/>
  </si>
  <si>
    <t>・販売用飲料</t>
    <rPh sb="1" eb="4">
      <t>ハンバイヨウ</t>
    </rPh>
    <rPh sb="4" eb="6">
      <t>インリョウ</t>
    </rPh>
    <phoneticPr fontId="1"/>
  </si>
  <si>
    <t>※書き切れない場合は、本紙をコピーして御使用ください。</t>
    <rPh sb="1" eb="2">
      <t>カ</t>
    </rPh>
    <rPh sb="3" eb="4">
      <t>キ</t>
    </rPh>
    <rPh sb="7" eb="9">
      <t>バアイ</t>
    </rPh>
    <rPh sb="11" eb="13">
      <t>ホンシ</t>
    </rPh>
    <rPh sb="19" eb="22">
      <t>ゴシヨウ</t>
    </rPh>
    <phoneticPr fontId="1"/>
  </si>
  <si>
    <t>①企画・進行管理、②広報、③物品等調達・管理、④各種届出等連絡調整、⑤設営・警備等会場管理、⑥各コーナー等運営（受付・模擬店・訓練等）、⑦踊り等専門的な指導・実演</t>
    <rPh sb="72" eb="75">
      <t>センモンテキ</t>
    </rPh>
    <phoneticPr fontId="1"/>
  </si>
  <si>
    <t>期待される効果　※135字以内</t>
    <rPh sb="0" eb="2">
      <t>キタイ</t>
    </rPh>
    <rPh sb="5" eb="7">
      <t>コウカ</t>
    </rPh>
    <rPh sb="12" eb="13">
      <t>ジ</t>
    </rPh>
    <rPh sb="13" eb="15">
      <t>イナイ</t>
    </rPh>
    <phoneticPr fontId="1"/>
  </si>
  <si>
    <t>実施上の工夫　※135字以内</t>
    <rPh sb="0" eb="2">
      <t>ジッシ</t>
    </rPh>
    <rPh sb="2" eb="3">
      <t>ジョウ</t>
    </rPh>
    <rPh sb="4" eb="6">
      <t>クフウ</t>
    </rPh>
    <rPh sb="11" eb="12">
      <t>ジ</t>
    </rPh>
    <rPh sb="12" eb="14">
      <t>イナイ</t>
    </rPh>
    <phoneticPr fontId="1"/>
  </si>
  <si>
    <t>Ａ　地域の課題解決のための取組</t>
  </si>
  <si>
    <t>Ｃ　複数の単一町会・自治会が共同して実施する取組（防災、見守り、デジタル）</t>
    <phoneticPr fontId="1"/>
  </si>
  <si>
    <t>Ｃ　複数の単一町会・自治会が共同して実施する取組（防災、見守り、デジタル以外）</t>
    <phoneticPr fontId="1"/>
  </si>
  <si>
    <t>Ｄ　単一の町会・自治会が他の地域団体と連携して実施する取組（防災、見守り、デジタル）</t>
    <phoneticPr fontId="1"/>
  </si>
  <si>
    <t>Ｄ　単一の町会・自治会が他の地域団体と連携して実施する取組（防災、見守り、デジタル以外）</t>
    <phoneticPr fontId="1"/>
  </si>
  <si>
    <t>←該当する場合、プルダウンリストから☑を選択</t>
    <rPh sb="1" eb="3">
      <t>ガイトウ</t>
    </rPh>
    <rPh sb="5" eb="7">
      <t>バアイ</t>
    </rPh>
    <rPh sb="20" eb="22">
      <t>センタク</t>
    </rPh>
    <phoneticPr fontId="1"/>
  </si>
  <si>
    <t>←該当する場合、プルダウンリストから☑を選択"</t>
    <rPh sb="1" eb="3">
      <t>ガイトウ</t>
    </rPh>
    <rPh sb="5" eb="7">
      <t>バアイ</t>
    </rPh>
    <rPh sb="20" eb="22">
      <t>センタク</t>
    </rPh>
    <phoneticPr fontId="1"/>
  </si>
  <si>
    <t>※該当する場合、プルダウンリストから☑を選択</t>
    <rPh sb="1" eb="3">
      <t>ガイトウ</t>
    </rPh>
    <rPh sb="5" eb="7">
      <t>バアイ</t>
    </rPh>
    <rPh sb="20" eb="22">
      <t>センタク</t>
    </rPh>
    <phoneticPr fontId="1"/>
  </si>
  <si>
    <t>今回申請する区分は何ですか（区分については、ご案内冊子（ガイドライン）P.2、6をご参照ください。）</t>
    <rPh sb="0" eb="2">
      <t>コンカイ</t>
    </rPh>
    <rPh sb="2" eb="4">
      <t>シンセイ</t>
    </rPh>
    <rPh sb="6" eb="8">
      <t>クブン</t>
    </rPh>
    <rPh sb="9" eb="10">
      <t>ナン</t>
    </rPh>
    <rPh sb="23" eb="25">
      <t>アンナイ</t>
    </rPh>
    <rPh sb="25" eb="27">
      <t>サッシ</t>
    </rPh>
    <phoneticPr fontId="1"/>
  </si>
  <si>
    <t>実施場所１</t>
    <phoneticPr fontId="1"/>
  </si>
  <si>
    <t>←6月2日 のように入力してください</t>
    <rPh sb="2" eb="3">
      <t>ガツ</t>
    </rPh>
    <rPh sb="4" eb="5">
      <t>ニチ</t>
    </rPh>
    <rPh sb="10" eb="12">
      <t>ニュウリョク</t>
    </rPh>
    <phoneticPr fontId="1"/>
  </si>
  <si>
    <t>※連続する期間の場合は「12月25日～12月31日」のように入力してください</t>
    <rPh sb="1" eb="3">
      <t>レンゾク</t>
    </rPh>
    <rPh sb="5" eb="7">
      <t>キカン</t>
    </rPh>
    <rPh sb="8" eb="10">
      <t>バアイ</t>
    </rPh>
    <rPh sb="14" eb="15">
      <t>ガツ</t>
    </rPh>
    <rPh sb="17" eb="18">
      <t>ニチ</t>
    </rPh>
    <rPh sb="21" eb="22">
      <t>ガツ</t>
    </rPh>
    <rPh sb="24" eb="25">
      <t>ニチ</t>
    </rPh>
    <rPh sb="30" eb="32">
      <t>ニュウリョク</t>
    </rPh>
    <phoneticPr fontId="1"/>
  </si>
  <si>
    <t>← 2025/6/2 のように入力してください（6月2日 と表示されます）</t>
    <rPh sb="25" eb="26">
      <t>ガツ</t>
    </rPh>
    <rPh sb="27" eb="28">
      <t>ニチ</t>
    </rPh>
    <rPh sb="30" eb="32">
      <t>ヒョウジ</t>
    </rPh>
    <phoneticPr fontId="1"/>
  </si>
  <si>
    <t>← 2025/6/2 のように入力してください（令和7年6月2日 と表示されます）</t>
    <rPh sb="24" eb="26">
      <t>レイワ</t>
    </rPh>
    <rPh sb="27" eb="28">
      <t>ネン</t>
    </rPh>
    <rPh sb="29" eb="30">
      <t>ガツ</t>
    </rPh>
    <rPh sb="31" eb="32">
      <t>ニチ</t>
    </rPh>
    <rPh sb="34" eb="36">
      <t>ヒョウジ</t>
    </rPh>
    <phoneticPr fontId="1"/>
  </si>
  <si>
    <t>※複数存在する場合は、 A老人会、B商店街 のように記入してください</t>
    <rPh sb="1" eb="3">
      <t>フクスウ</t>
    </rPh>
    <rPh sb="3" eb="5">
      <t>ソンザイ</t>
    </rPh>
    <rPh sb="7" eb="9">
      <t>バアイ</t>
    </rPh>
    <rPh sb="13" eb="16">
      <t>ロウジンカイ</t>
    </rPh>
    <rPh sb="18" eb="21">
      <t>ショウテンガイ</t>
    </rPh>
    <rPh sb="26" eb="28">
      <t>キニュウ</t>
    </rPh>
    <phoneticPr fontId="1"/>
  </si>
  <si>
    <t>第６号様式</t>
    <rPh sb="0" eb="1">
      <t>ダイ</t>
    </rPh>
    <rPh sb="2" eb="3">
      <t>ゴウ</t>
    </rPh>
    <rPh sb="3" eb="5">
      <t>ヨウシキ</t>
    </rPh>
    <phoneticPr fontId="1"/>
  </si>
  <si>
    <t>概算払分請求書</t>
    <rPh sb="0" eb="2">
      <t>ガイサン</t>
    </rPh>
    <rPh sb="2" eb="3">
      <t>バラ</t>
    </rPh>
    <rPh sb="3" eb="4">
      <t>ブン</t>
    </rPh>
    <rPh sb="4" eb="7">
      <t>セイキュウショ</t>
    </rPh>
    <phoneticPr fontId="1"/>
  </si>
  <si>
    <t>について、下記のとおり助成金の概算払分の交付を請求します。</t>
    <rPh sb="5" eb="7">
      <t>カキ</t>
    </rPh>
    <rPh sb="11" eb="14">
      <t>ジョセイキン</t>
    </rPh>
    <rPh sb="15" eb="17">
      <t>ガイサン</t>
    </rPh>
    <rPh sb="17" eb="18">
      <t>バラ</t>
    </rPh>
    <rPh sb="18" eb="19">
      <t>ブン</t>
    </rPh>
    <rPh sb="20" eb="22">
      <t>コウフ</t>
    </rPh>
    <rPh sb="23" eb="25">
      <t>セイキュウ</t>
    </rPh>
    <phoneticPr fontId="1"/>
  </si>
  <si>
    <t>助成金交付決定額</t>
    <rPh sb="0" eb="3">
      <t>ジョセイキン</t>
    </rPh>
    <rPh sb="3" eb="5">
      <t>コウフ</t>
    </rPh>
    <rPh sb="5" eb="7">
      <t>ケッテイ</t>
    </rPh>
    <rPh sb="7" eb="8">
      <t>ガク</t>
    </rPh>
    <phoneticPr fontId="1"/>
  </si>
  <si>
    <t>助成金概算払分交付請求額</t>
    <rPh sb="0" eb="3">
      <t>ジョセイキン</t>
    </rPh>
    <rPh sb="3" eb="5">
      <t>ガイサン</t>
    </rPh>
    <rPh sb="5" eb="6">
      <t>フツ</t>
    </rPh>
    <rPh sb="6" eb="7">
      <t>ブン</t>
    </rPh>
    <rPh sb="7" eb="9">
      <t>コウフ</t>
    </rPh>
    <rPh sb="9" eb="11">
      <t>セイキュウ</t>
    </rPh>
    <rPh sb="11" eb="12">
      <t>ガク</t>
    </rPh>
    <phoneticPr fontId="1"/>
  </si>
  <si>
    <t>第１２号様式</t>
    <rPh sb="0" eb="1">
      <t>ダイ</t>
    </rPh>
    <rPh sb="3" eb="4">
      <t>ゴウ</t>
    </rPh>
    <rPh sb="4" eb="6">
      <t>ヨウシキ</t>
    </rPh>
    <phoneticPr fontId="1"/>
  </si>
  <si>
    <t>概算払支払精算書</t>
    <rPh sb="0" eb="2">
      <t>ガイサン</t>
    </rPh>
    <rPh sb="2" eb="3">
      <t>バラ</t>
    </rPh>
    <rPh sb="3" eb="5">
      <t>シハライ</t>
    </rPh>
    <rPh sb="5" eb="8">
      <t>セイサンショ</t>
    </rPh>
    <phoneticPr fontId="1"/>
  </si>
  <si>
    <t>助成金交付確定額</t>
    <rPh sb="0" eb="2">
      <t>ジョセイ</t>
    </rPh>
    <rPh sb="2" eb="3">
      <t>キン</t>
    </rPh>
    <rPh sb="3" eb="5">
      <t>コウフ</t>
    </rPh>
    <rPh sb="5" eb="7">
      <t>カクテイ</t>
    </rPh>
    <rPh sb="7" eb="8">
      <t>ガク</t>
    </rPh>
    <phoneticPr fontId="1"/>
  </si>
  <si>
    <t>概算払交付済額</t>
    <rPh sb="0" eb="2">
      <t>ガイサン</t>
    </rPh>
    <rPh sb="2" eb="3">
      <t>バライ</t>
    </rPh>
    <rPh sb="3" eb="5">
      <t>コウフ</t>
    </rPh>
    <rPh sb="5" eb="6">
      <t>ズミ</t>
    </rPh>
    <rPh sb="6" eb="7">
      <t>ガク</t>
    </rPh>
    <phoneticPr fontId="1"/>
  </si>
  <si>
    <t>差引き追給額</t>
    <rPh sb="0" eb="2">
      <t>サシヒ</t>
    </rPh>
    <rPh sb="3" eb="5">
      <t>ツイキュウ</t>
    </rPh>
    <rPh sb="5" eb="6">
      <t>ガク</t>
    </rPh>
    <phoneticPr fontId="1"/>
  </si>
  <si>
    <t>事業の名称（申請時の内容が自動転記）</t>
    <rPh sb="0" eb="2">
      <t>ジギョウ</t>
    </rPh>
    <rPh sb="3" eb="5">
      <t>メイショウ</t>
    </rPh>
    <phoneticPr fontId="1"/>
  </si>
  <si>
    <t>助成金概算払分交付請求額（自動入力）</t>
    <rPh sb="13" eb="15">
      <t>ジドウ</t>
    </rPh>
    <rPh sb="15" eb="17">
      <t>ニュウリョク</t>
    </rPh>
    <phoneticPr fontId="1"/>
  </si>
  <si>
    <t>助成金交付決定額（交付申請額が自動転記）</t>
    <rPh sb="0" eb="3">
      <t>ジョセイキン</t>
    </rPh>
    <rPh sb="3" eb="5">
      <t>コウフ</t>
    </rPh>
    <rPh sb="5" eb="7">
      <t>ケッテイ</t>
    </rPh>
    <rPh sb="7" eb="8">
      <t>ガク</t>
    </rPh>
    <rPh sb="9" eb="11">
      <t>コウフ</t>
    </rPh>
    <rPh sb="11" eb="13">
      <t>シンセイ</t>
    </rPh>
    <rPh sb="13" eb="14">
      <t>ガク</t>
    </rPh>
    <rPh sb="15" eb="17">
      <t>ジドウ</t>
    </rPh>
    <rPh sb="17" eb="19">
      <t>テンキ</t>
    </rPh>
    <phoneticPr fontId="1"/>
  </si>
  <si>
    <t>※交付申請時に計上がなく、実績報告時に計上する場合は左のセルに入力された関数を削除して手入力してください</t>
    <rPh sb="1" eb="5">
      <t>コウフシンセイ</t>
    </rPh>
    <rPh sb="5" eb="6">
      <t>ジ</t>
    </rPh>
    <rPh sb="7" eb="9">
      <t>ケイジョウ</t>
    </rPh>
    <rPh sb="13" eb="15">
      <t>ジッセキ</t>
    </rPh>
    <rPh sb="15" eb="17">
      <t>ホウコク</t>
    </rPh>
    <rPh sb="17" eb="18">
      <t>ジ</t>
    </rPh>
    <rPh sb="19" eb="21">
      <t>ケイジョウ</t>
    </rPh>
    <rPh sb="23" eb="25">
      <t>バアイ</t>
    </rPh>
    <rPh sb="26" eb="27">
      <t>ヒダリ</t>
    </rPh>
    <rPh sb="31" eb="33">
      <t>ニュウリョク</t>
    </rPh>
    <rPh sb="36" eb="38">
      <t>カンスウ</t>
    </rPh>
    <rPh sb="39" eb="41">
      <t>サクジョ</t>
    </rPh>
    <rPh sb="43" eb="44">
      <t>テ</t>
    </rPh>
    <rPh sb="44" eb="46">
      <t>ニュウリョク</t>
    </rPh>
    <phoneticPr fontId="1"/>
  </si>
  <si>
    <t>※交付申請時に計上した金額から変更になった場合や交付申請時に計上がなく実績報告時に計上する場合は左のセルに入力された関数を削除して手入力してください</t>
    <rPh sb="1" eb="3">
      <t>コウフ</t>
    </rPh>
    <rPh sb="3" eb="6">
      <t>シンセイジ</t>
    </rPh>
    <rPh sb="7" eb="9">
      <t>ケイジョウ</t>
    </rPh>
    <rPh sb="11" eb="13">
      <t>キンガク</t>
    </rPh>
    <rPh sb="15" eb="17">
      <t>ヘンコウ</t>
    </rPh>
    <rPh sb="21" eb="23">
      <t>バアイ</t>
    </rPh>
    <rPh sb="24" eb="28">
      <t>コウフシンセイ</t>
    </rPh>
    <rPh sb="28" eb="29">
      <t>ジ</t>
    </rPh>
    <rPh sb="30" eb="32">
      <t>ケイジョウ</t>
    </rPh>
    <rPh sb="35" eb="37">
      <t>ジッセキ</t>
    </rPh>
    <rPh sb="37" eb="39">
      <t>ホウコク</t>
    </rPh>
    <rPh sb="39" eb="40">
      <t>ジ</t>
    </rPh>
    <rPh sb="41" eb="43">
      <t>ケイジョウ</t>
    </rPh>
    <rPh sb="45" eb="47">
      <t>バアイ</t>
    </rPh>
    <rPh sb="48" eb="49">
      <t>ヒダリ</t>
    </rPh>
    <rPh sb="53" eb="55">
      <t>ニュウリョク</t>
    </rPh>
    <rPh sb="58" eb="60">
      <t>カンスウ</t>
    </rPh>
    <rPh sb="61" eb="63">
      <t>サクジョ</t>
    </rPh>
    <rPh sb="65" eb="68">
      <t>テニュウリョク</t>
    </rPh>
    <phoneticPr fontId="1"/>
  </si>
  <si>
    <t>※交付申請時に計上した金額から変更になった場合や今回新たに計上する場合は左のセルに入力された関数を削除して手入力してください</t>
    <rPh sb="1" eb="3">
      <t>コウフ</t>
    </rPh>
    <rPh sb="3" eb="6">
      <t>シンセイジ</t>
    </rPh>
    <rPh sb="7" eb="9">
      <t>ケイジョウ</t>
    </rPh>
    <rPh sb="11" eb="13">
      <t>キンガク</t>
    </rPh>
    <rPh sb="15" eb="17">
      <t>ヘンコウ</t>
    </rPh>
    <rPh sb="21" eb="23">
      <t>バアイ</t>
    </rPh>
    <rPh sb="24" eb="26">
      <t>コンカイ</t>
    </rPh>
    <rPh sb="26" eb="27">
      <t>アラ</t>
    </rPh>
    <rPh sb="31" eb="33">
      <t>ニュウリョク</t>
    </rPh>
    <rPh sb="36" eb="38">
      <t>カンスウ</t>
    </rPh>
    <rPh sb="39" eb="41">
      <t>サクジョ</t>
    </rPh>
    <rPh sb="43" eb="46">
      <t>テニュウリョク</t>
    </rPh>
    <phoneticPr fontId="1"/>
  </si>
  <si>
    <t>概算払の希望の有無（詳しくは、ご案内冊子（ガイドライン）P.11をご参照ください。）</t>
    <rPh sb="0" eb="3">
      <t>ガイサンバライ</t>
    </rPh>
    <rPh sb="4" eb="6">
      <t>キボウ</t>
    </rPh>
    <rPh sb="7" eb="9">
      <t>ウム</t>
    </rPh>
    <rPh sb="10" eb="11">
      <t>クワ</t>
    </rPh>
    <phoneticPr fontId="1"/>
  </si>
  <si>
    <t>事業助成金概算払について、下記のとおり精算します。</t>
    <rPh sb="5" eb="7">
      <t>ガイサン</t>
    </rPh>
    <rPh sb="7" eb="8">
      <t>バライ</t>
    </rPh>
    <rPh sb="13" eb="15">
      <t>カキ</t>
    </rPh>
    <rPh sb="19" eb="21">
      <t>セイサン</t>
    </rPh>
    <phoneticPr fontId="1"/>
  </si>
  <si>
    <t>　令和７年度地域の底力発展事業助成金について、令和７年度地域の底力発展事業助成金交付要綱第８の規定</t>
    <rPh sb="47" eb="49">
      <t>キテイ</t>
    </rPh>
    <phoneticPr fontId="1"/>
  </si>
  <si>
    <t>※打合せには反省会も含みますので、打合せ実施日の最後の日には反省会の日を入力してください。</t>
    <rPh sb="1" eb="3">
      <t>ウチアワ</t>
    </rPh>
    <rPh sb="6" eb="8">
      <t>ハンセイ</t>
    </rPh>
    <rPh sb="8" eb="9">
      <t>カイ</t>
    </rPh>
    <rPh sb="10" eb="11">
      <t>フク</t>
    </rPh>
    <rPh sb="17" eb="19">
      <t>ウチアワ</t>
    </rPh>
    <rPh sb="20" eb="22">
      <t>ジッシ</t>
    </rPh>
    <rPh sb="22" eb="23">
      <t>ビ</t>
    </rPh>
    <rPh sb="24" eb="26">
      <t>サイゴ</t>
    </rPh>
    <rPh sb="27" eb="28">
      <t>ヒ</t>
    </rPh>
    <rPh sb="30" eb="32">
      <t>ハンセイ</t>
    </rPh>
    <rPh sb="32" eb="33">
      <t>カイ</t>
    </rPh>
    <rPh sb="34" eb="35">
      <t>ヒ</t>
    </rPh>
    <rPh sb="36" eb="38">
      <t>ニュウリョク</t>
    </rPh>
    <phoneticPr fontId="1"/>
  </si>
  <si>
    <t>↓Ｂ－１　防災・節電活動</t>
    <phoneticPr fontId="1"/>
  </si>
  <si>
    <t>↓Ｂ－２　子ども・若者育成支援</t>
    <phoneticPr fontId="1"/>
  </si>
  <si>
    <t>↓Ａ　地域の課題解決のための取組</t>
    <phoneticPr fontId="1"/>
  </si>
  <si>
    <t>↓Ｂ－３　高齢者等の見守り活動</t>
    <phoneticPr fontId="1"/>
  </si>
  <si>
    <t>↓Ｂ－４　防犯活動</t>
    <phoneticPr fontId="1"/>
  </si>
  <si>
    <t>↓Ｂ－Ｓ　デジタル活用支援</t>
    <phoneticPr fontId="1"/>
  </si>
  <si>
    <t>↓Ｂ－５　多文化共生社会づくり</t>
    <phoneticPr fontId="1"/>
  </si>
  <si>
    <t>↓Ｃ　複数の単一町会・自治会が共同して実施する</t>
    <phoneticPr fontId="1"/>
  </si>
  <si>
    <t>↓　　取組（防災、見守り、デジタル）</t>
    <phoneticPr fontId="1"/>
  </si>
  <si>
    <t>↓　　取組（防災、見守り、デジタル以外）</t>
    <rPh sb="17" eb="19">
      <t>イガイ</t>
    </rPh>
    <phoneticPr fontId="1"/>
  </si>
  <si>
    <t>↓Ｄ　単一の町会・自治会が他の地域団体と連携</t>
    <phoneticPr fontId="1"/>
  </si>
  <si>
    <t>↓どの区分を選んでも</t>
    <rPh sb="3" eb="5">
      <t>クブン</t>
    </rPh>
    <rPh sb="6" eb="7">
      <t>エラ</t>
    </rPh>
    <phoneticPr fontId="1"/>
  </si>
  <si>
    <t>↓　　して実施する取組（防災、見守り、デジタル）</t>
    <phoneticPr fontId="1"/>
  </si>
  <si>
    <t>↓　　して実施する取組（防災、見守り、デジタル以外）</t>
    <rPh sb="23" eb="25">
      <t>イガイ</t>
    </rPh>
    <phoneticPr fontId="1"/>
  </si>
  <si>
    <t>↓助成率は「10/10」</t>
    <rPh sb="1" eb="3">
      <t>ジョセイ</t>
    </rPh>
    <rPh sb="3" eb="4">
      <t>リツ</t>
    </rPh>
    <phoneticPr fontId="1"/>
  </si>
  <si>
    <t>今回申請する区分は初めてですか</t>
    <phoneticPr fontId="1"/>
  </si>
  <si>
    <t>↓初めて</t>
    <phoneticPr fontId="1"/>
  </si>
  <si>
    <t>↓2回目以上</t>
    <phoneticPr fontId="1"/>
  </si>
  <si>
    <t>↓（Ｃ区分・Ｄ区分の場合は取組内容を問わず</t>
    <phoneticPr fontId="1"/>
  </si>
  <si>
    <t>↓（前年度までに同じ区分で申請したことがある）</t>
    <phoneticPr fontId="1"/>
  </si>
  <si>
    <t>↓　その区分自体が初めての場合を指す）</t>
    <phoneticPr fontId="1"/>
  </si>
  <si>
    <t>「地域防災力の強化」かつ「多文化共生社会づくり」につながる活動は行いますか</t>
    <rPh sb="1" eb="6">
      <t>チイキボウサイリョク</t>
    </rPh>
    <rPh sb="7" eb="9">
      <t>キョウカ</t>
    </rPh>
    <rPh sb="13" eb="16">
      <t>タブンカ</t>
    </rPh>
    <rPh sb="16" eb="18">
      <t>キョウセイ</t>
    </rPh>
    <rPh sb="18" eb="20">
      <t>シャカイ</t>
    </rPh>
    <phoneticPr fontId="1"/>
  </si>
  <si>
    <r>
      <t>所在地等（郵便番号）※</t>
    </r>
    <r>
      <rPr>
        <b/>
        <u/>
        <sz val="11"/>
        <color theme="1"/>
        <rFont val="游ゴシック"/>
        <family val="3"/>
        <charset val="128"/>
        <scheme val="minor"/>
      </rPr>
      <t>ハイフンなしで半角数字7桁のみ</t>
    </r>
    <r>
      <rPr>
        <sz val="11"/>
        <color theme="1"/>
        <rFont val="游ゴシック"/>
        <family val="2"/>
        <charset val="128"/>
        <scheme val="minor"/>
      </rPr>
      <t>入力</t>
    </r>
    <rPh sb="0" eb="4">
      <t>ショザイチトウ</t>
    </rPh>
    <rPh sb="5" eb="9">
      <t>ユウビンバンゴウ</t>
    </rPh>
    <rPh sb="18" eb="20">
      <t>ハンカク</t>
    </rPh>
    <rPh sb="20" eb="22">
      <t>スウジ</t>
    </rPh>
    <rPh sb="23" eb="24">
      <t>ケタ</t>
    </rPh>
    <rPh sb="26" eb="28">
      <t>ニュウリョク</t>
    </rPh>
    <phoneticPr fontId="1"/>
  </si>
  <si>
    <r>
      <t>電話番号　※</t>
    </r>
    <r>
      <rPr>
        <b/>
        <u/>
        <sz val="11"/>
        <color theme="1"/>
        <rFont val="游ゴシック"/>
        <family val="3"/>
        <charset val="128"/>
        <scheme val="minor"/>
      </rPr>
      <t>ハイフンあり・半角で</t>
    </r>
    <r>
      <rPr>
        <sz val="11"/>
        <color theme="1"/>
        <rFont val="游ゴシック"/>
        <family val="2"/>
        <charset val="128"/>
        <scheme val="minor"/>
      </rPr>
      <t>入力</t>
    </r>
    <rPh sb="0" eb="2">
      <t>デンワ</t>
    </rPh>
    <rPh sb="2" eb="4">
      <t>バンゴウ</t>
    </rPh>
    <rPh sb="13" eb="15">
      <t>ハンカク</t>
    </rPh>
    <rPh sb="16" eb="18">
      <t>ニュウリョク</t>
    </rPh>
    <phoneticPr fontId="1"/>
  </si>
  <si>
    <r>
      <t>連絡責任者所在地等（郵便番号）※</t>
    </r>
    <r>
      <rPr>
        <b/>
        <u/>
        <sz val="11"/>
        <color theme="1"/>
        <rFont val="游ゴシック"/>
        <family val="3"/>
        <charset val="128"/>
        <scheme val="minor"/>
      </rPr>
      <t>ハイフンなしで半角数字7桁のみ</t>
    </r>
    <r>
      <rPr>
        <sz val="11"/>
        <color theme="1"/>
        <rFont val="游ゴシック"/>
        <family val="2"/>
        <charset val="128"/>
        <scheme val="minor"/>
      </rPr>
      <t>入力</t>
    </r>
    <rPh sb="0" eb="5">
      <t>レンラクセキニンシャ</t>
    </rPh>
    <rPh sb="5" eb="8">
      <t>ショザイチ</t>
    </rPh>
    <rPh sb="8" eb="9">
      <t>トウ</t>
    </rPh>
    <rPh sb="23" eb="25">
      <t>ハンカク</t>
    </rPh>
    <phoneticPr fontId="1"/>
  </si>
  <si>
    <r>
      <t>連絡責任者電話番号（自宅・職場）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5" eb="7">
      <t>デンワ</t>
    </rPh>
    <rPh sb="7" eb="9">
      <t>バンゴウ</t>
    </rPh>
    <rPh sb="10" eb="12">
      <t>ジタク</t>
    </rPh>
    <rPh sb="13" eb="15">
      <t>ショクバ</t>
    </rPh>
    <rPh sb="25" eb="27">
      <t>ハンカク</t>
    </rPh>
    <phoneticPr fontId="1"/>
  </si>
  <si>
    <r>
      <t>連絡責任者電話番号（携帯電話）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5" eb="7">
      <t>デンワ</t>
    </rPh>
    <rPh sb="7" eb="9">
      <t>バンゴウ</t>
    </rPh>
    <rPh sb="10" eb="12">
      <t>ケイタイ</t>
    </rPh>
    <rPh sb="12" eb="14">
      <t>デンワ</t>
    </rPh>
    <rPh sb="24" eb="26">
      <t>ハンカク</t>
    </rPh>
    <phoneticPr fontId="1"/>
  </si>
  <si>
    <r>
      <t>連絡責任者ＦＡＸ番号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8" eb="10">
      <t>バンゴウ</t>
    </rPh>
    <rPh sb="19" eb="21">
      <t>ハンカク</t>
    </rPh>
    <phoneticPr fontId="1"/>
  </si>
  <si>
    <r>
      <t>連絡責任者メールアドレス　※</t>
    </r>
    <r>
      <rPr>
        <b/>
        <u/>
        <sz val="11"/>
        <color theme="1"/>
        <rFont val="游ゴシック"/>
        <family val="3"/>
        <charset val="128"/>
        <scheme val="minor"/>
      </rPr>
      <t>半角で</t>
    </r>
    <r>
      <rPr>
        <sz val="11"/>
        <color theme="1"/>
        <rFont val="游ゴシック"/>
        <family val="2"/>
        <charset val="128"/>
        <scheme val="minor"/>
      </rPr>
      <t>入力</t>
    </r>
    <rPh sb="0" eb="2">
      <t>レンラク</t>
    </rPh>
    <rPh sb="2" eb="4">
      <t>セキニン</t>
    </rPh>
    <rPh sb="4" eb="5">
      <t>シャ</t>
    </rPh>
    <rPh sb="14" eb="16">
      <t>ハンカク</t>
    </rPh>
    <rPh sb="17" eb="19">
      <t>ニュウリョク</t>
    </rPh>
    <phoneticPr fontId="1"/>
  </si>
  <si>
    <t>←プルダウンリストから選んでください（「↓」の場合は選択不要）</t>
    <rPh sb="11" eb="12">
      <t>エラ</t>
    </rPh>
    <rPh sb="23" eb="25">
      <t>バアイ</t>
    </rPh>
    <rPh sb="26" eb="28">
      <t>センタク</t>
    </rPh>
    <rPh sb="28" eb="30">
      <t>フヨウ</t>
    </rPh>
    <phoneticPr fontId="1"/>
  </si>
  <si>
    <r>
      <t>←</t>
    </r>
    <r>
      <rPr>
        <b/>
        <u/>
        <sz val="11"/>
        <color theme="1"/>
        <rFont val="游ゴシック"/>
        <family val="3"/>
        <charset val="128"/>
        <scheme val="minor"/>
      </rPr>
      <t>ハイフンあり・半角で</t>
    </r>
    <r>
      <rPr>
        <sz val="11"/>
        <color theme="1"/>
        <rFont val="游ゴシック"/>
        <family val="2"/>
        <charset val="128"/>
        <scheme val="minor"/>
      </rPr>
      <t>入力してください</t>
    </r>
    <rPh sb="8" eb="10">
      <t>ハンカク</t>
    </rPh>
    <rPh sb="11" eb="13">
      <t>ニュウリョク</t>
    </rPh>
    <phoneticPr fontId="1"/>
  </si>
  <si>
    <r>
      <t>概要（防災節電）　</t>
    </r>
    <r>
      <rPr>
        <b/>
        <u/>
        <sz val="11"/>
        <color theme="1"/>
        <rFont val="游ゴシック"/>
        <family val="2"/>
        <charset val="128"/>
        <scheme val="minor"/>
      </rPr>
      <t>※助成率の特例を受ける場合は</t>
    </r>
    <r>
      <rPr>
        <b/>
        <u/>
        <sz val="11"/>
        <color theme="1"/>
        <rFont val="Segoe UI Symbol"/>
        <family val="2"/>
      </rPr>
      <t>☑</t>
    </r>
    <r>
      <rPr>
        <b/>
        <u/>
        <sz val="11"/>
        <color theme="1"/>
        <rFont val="游ゴシック"/>
        <family val="2"/>
        <charset val="128"/>
      </rPr>
      <t>必須</t>
    </r>
    <rPh sb="0" eb="2">
      <t>ガイヨウ</t>
    </rPh>
    <rPh sb="3" eb="5">
      <t>ボウサイ</t>
    </rPh>
    <rPh sb="5" eb="7">
      <t>セツデン</t>
    </rPh>
    <phoneticPr fontId="1"/>
  </si>
  <si>
    <r>
      <t>概要（多文化共生社会づくり）　</t>
    </r>
    <r>
      <rPr>
        <b/>
        <u/>
        <sz val="11"/>
        <color theme="1"/>
        <rFont val="游ゴシック"/>
        <family val="2"/>
        <charset val="128"/>
        <scheme val="minor"/>
      </rPr>
      <t>※助成率の特例を受ける場合は</t>
    </r>
    <r>
      <rPr>
        <b/>
        <u/>
        <sz val="11"/>
        <color theme="1"/>
        <rFont val="Segoe UI Symbol"/>
        <family val="2"/>
      </rPr>
      <t>☑</t>
    </r>
    <r>
      <rPr>
        <b/>
        <u/>
        <sz val="11"/>
        <color theme="1"/>
        <rFont val="游ゴシック"/>
        <family val="2"/>
        <charset val="128"/>
        <scheme val="minor"/>
      </rPr>
      <t>必須</t>
    </r>
    <phoneticPr fontId="1"/>
  </si>
  <si>
    <t>※順延の場合は 6月2日に順延 のように入力してください。</t>
    <rPh sb="1" eb="3">
      <t>ジュンエン</t>
    </rPh>
    <rPh sb="4" eb="6">
      <t>バアイ</t>
    </rPh>
    <rPh sb="9" eb="10">
      <t>ガツ</t>
    </rPh>
    <rPh sb="11" eb="12">
      <t>ニチ</t>
    </rPh>
    <rPh sb="13" eb="15">
      <t>ジュンエン</t>
    </rPh>
    <rPh sb="20" eb="22">
      <t>ニュウリョク</t>
    </rPh>
    <phoneticPr fontId="1"/>
  </si>
  <si>
    <r>
      <t>打合せ回数（</t>
    </r>
    <r>
      <rPr>
        <b/>
        <u/>
        <sz val="11"/>
        <color theme="1"/>
        <rFont val="游ゴシック"/>
        <family val="3"/>
        <charset val="128"/>
        <scheme val="minor"/>
      </rPr>
      <t>半角</t>
    </r>
    <r>
      <rPr>
        <sz val="11"/>
        <color theme="1"/>
        <rFont val="游ゴシック"/>
        <family val="2"/>
        <charset val="128"/>
        <scheme val="minor"/>
      </rPr>
      <t>数字のみ記入）</t>
    </r>
    <rPh sb="0" eb="2">
      <t>ウチアワ</t>
    </rPh>
    <rPh sb="3" eb="5">
      <t>カイスウ</t>
    </rPh>
    <rPh sb="6" eb="8">
      <t>ハンカク</t>
    </rPh>
    <rPh sb="8" eb="10">
      <t>スウジ</t>
    </rPh>
    <rPh sb="12" eb="14">
      <t>キニュウ</t>
    </rPh>
    <phoneticPr fontId="1"/>
  </si>
  <si>
    <r>
      <t>打合せ合計人数（</t>
    </r>
    <r>
      <rPr>
        <b/>
        <u/>
        <sz val="11"/>
        <color theme="1"/>
        <rFont val="游ゴシック"/>
        <family val="3"/>
        <charset val="128"/>
        <scheme val="minor"/>
      </rPr>
      <t>半角</t>
    </r>
    <r>
      <rPr>
        <sz val="11"/>
        <color theme="1"/>
        <rFont val="游ゴシック"/>
        <family val="2"/>
        <charset val="128"/>
        <scheme val="minor"/>
      </rPr>
      <t>数字のみ記入）</t>
    </r>
    <rPh sb="0" eb="2">
      <t>ウチアワ</t>
    </rPh>
    <rPh sb="3" eb="5">
      <t>ゴウケイ</t>
    </rPh>
    <rPh sb="5" eb="7">
      <t>ニンズウ</t>
    </rPh>
    <rPh sb="8" eb="10">
      <t>ハンカク</t>
    </rPh>
    <rPh sb="10" eb="12">
      <t>スウジ</t>
    </rPh>
    <rPh sb="14" eb="16">
      <t>キニュウ</t>
    </rPh>
    <phoneticPr fontId="1"/>
  </si>
  <si>
    <t>※一式の場合は 一式 と記入することは可能です（「１式」、｢1式」は記入不可）</t>
    <phoneticPr fontId="1"/>
  </si>
  <si>
    <t>○入力フォーム付きファイルで申請書を作成する皆様へ</t>
    <rPh sb="1" eb="3">
      <t>ニュウリョク</t>
    </rPh>
    <rPh sb="7" eb="8">
      <t>ツ</t>
    </rPh>
    <rPh sb="14" eb="17">
      <t>シンセイショ</t>
    </rPh>
    <rPh sb="18" eb="20">
      <t>サクセイ</t>
    </rPh>
    <rPh sb="22" eb="24">
      <t>ミナサマ</t>
    </rPh>
    <phoneticPr fontId="1"/>
  </si>
  <si>
    <t>（必ずお読みください）</t>
    <rPh sb="1" eb="2">
      <t>カナラ</t>
    </rPh>
    <rPh sb="4" eb="5">
      <t>ヨ</t>
    </rPh>
    <phoneticPr fontId="1"/>
  </si>
  <si>
    <t>①「入力フォーム」、「概算払請求入力フォーム」、「変更申請入力フォーム」、「実績入力フォーム」の各シートのB列に入力をしていくことで、各様式が完成するようになっています。</t>
    <rPh sb="2" eb="4">
      <t>ニュウリョク</t>
    </rPh>
    <rPh sb="11" eb="13">
      <t>ガイサン</t>
    </rPh>
    <rPh sb="13" eb="14">
      <t>バライ</t>
    </rPh>
    <rPh sb="14" eb="16">
      <t>セイキュウ</t>
    </rPh>
    <rPh sb="16" eb="18">
      <t>ニュウリョク</t>
    </rPh>
    <rPh sb="25" eb="27">
      <t>ヘンコウ</t>
    </rPh>
    <rPh sb="27" eb="29">
      <t>シンセイ</t>
    </rPh>
    <rPh sb="29" eb="31">
      <t>ニュウリョク</t>
    </rPh>
    <rPh sb="38" eb="40">
      <t>ジッセキ</t>
    </rPh>
    <rPh sb="40" eb="42">
      <t>ニュウリョク</t>
    </rPh>
    <rPh sb="48" eb="49">
      <t>カク</t>
    </rPh>
    <rPh sb="54" eb="55">
      <t>レツ</t>
    </rPh>
    <rPh sb="56" eb="58">
      <t>ニュウリョク</t>
    </rPh>
    <rPh sb="67" eb="68">
      <t>カク</t>
    </rPh>
    <phoneticPr fontId="1"/>
  </si>
  <si>
    <t>・コピー＆ペースト</t>
    <phoneticPr fontId="1"/>
  </si>
  <si>
    <t>・ドラッグ＆ドロップによるセルの移動</t>
    <rPh sb="16" eb="18">
      <t>イドウ</t>
    </rPh>
    <phoneticPr fontId="1"/>
  </si>
  <si>
    <t>・行の削除</t>
    <rPh sb="1" eb="2">
      <t>ギョウ</t>
    </rPh>
    <rPh sb="3" eb="5">
      <t>サクジョ</t>
    </rPh>
    <phoneticPr fontId="1"/>
  </si>
  <si>
    <t>・列の削除</t>
    <rPh sb="1" eb="2">
      <t>レツ</t>
    </rPh>
    <rPh sb="3" eb="5">
      <t>サクジョ</t>
    </rPh>
    <phoneticPr fontId="1"/>
  </si>
  <si>
    <t>・シート保護の解除（パスワードを付しておらず、簡単に解除できてしまうため）</t>
    <rPh sb="4" eb="6">
      <t>ホゴ</t>
    </rPh>
    <rPh sb="7" eb="9">
      <t>カイジョ</t>
    </rPh>
    <rPh sb="16" eb="17">
      <t>フ</t>
    </rPh>
    <rPh sb="23" eb="25">
      <t>カンタン</t>
    </rPh>
    <rPh sb="26" eb="28">
      <t>カイジョ</t>
    </rPh>
    <phoneticPr fontId="1"/>
  </si>
  <si>
    <r>
      <t>打合せ・反省会参加人数（合計）（</t>
    </r>
    <r>
      <rPr>
        <b/>
        <u/>
        <sz val="11"/>
        <color theme="1"/>
        <rFont val="游ゴシック"/>
        <family val="3"/>
        <charset val="128"/>
        <scheme val="minor"/>
      </rPr>
      <t>数字のみ入力</t>
    </r>
    <r>
      <rPr>
        <sz val="11"/>
        <color theme="1"/>
        <rFont val="游ゴシック"/>
        <family val="2"/>
        <charset val="128"/>
        <scheme val="minor"/>
      </rPr>
      <t>）</t>
    </r>
    <rPh sb="0" eb="2">
      <t>ウチアワ</t>
    </rPh>
    <rPh sb="4" eb="6">
      <t>ハンセイ</t>
    </rPh>
    <rPh sb="6" eb="7">
      <t>カイ</t>
    </rPh>
    <rPh sb="7" eb="9">
      <t>サンカ</t>
    </rPh>
    <rPh sb="9" eb="11">
      <t>ニンズウ</t>
    </rPh>
    <rPh sb="12" eb="14">
      <t>ゴウケイ</t>
    </rPh>
    <rPh sb="16" eb="18">
      <t>スウジ</t>
    </rPh>
    <rPh sb="20" eb="22">
      <t>ニュウリョク</t>
    </rPh>
    <phoneticPr fontId="1"/>
  </si>
  <si>
    <r>
      <t>会員世帯数（</t>
    </r>
    <r>
      <rPr>
        <b/>
        <u/>
        <sz val="11"/>
        <color theme="1"/>
        <rFont val="游ゴシック"/>
        <family val="3"/>
        <charset val="128"/>
        <scheme val="minor"/>
      </rPr>
      <t>数字のみ記入</t>
    </r>
    <r>
      <rPr>
        <sz val="11"/>
        <color theme="1"/>
        <rFont val="游ゴシック"/>
        <family val="2"/>
        <charset val="128"/>
        <scheme val="minor"/>
      </rPr>
      <t>）</t>
    </r>
    <rPh sb="0" eb="2">
      <t>カイイン</t>
    </rPh>
    <rPh sb="2" eb="4">
      <t>セタイ</t>
    </rPh>
    <rPh sb="4" eb="5">
      <t>スウ</t>
    </rPh>
    <rPh sb="6" eb="8">
      <t>スウジ</t>
    </rPh>
    <rPh sb="10" eb="12">
      <t>キニュウ</t>
    </rPh>
    <phoneticPr fontId="1"/>
  </si>
  <si>
    <t>⑥数量や単価等で「,（カンマ）」の記入は不要です。</t>
    <rPh sb="1" eb="3">
      <t>スウリョウ</t>
    </rPh>
    <rPh sb="4" eb="6">
      <t>タンカ</t>
    </rPh>
    <rPh sb="6" eb="7">
      <t>トウ</t>
    </rPh>
    <rPh sb="17" eb="19">
      <t>キニュウ</t>
    </rPh>
    <rPh sb="20" eb="22">
      <t>フヨウ</t>
    </rPh>
    <phoneticPr fontId="1"/>
  </si>
  <si>
    <t>※申請時から変更があった場合のみ手入力してください</t>
    <rPh sb="1" eb="4">
      <t>シンセイジ</t>
    </rPh>
    <rPh sb="6" eb="8">
      <t>ヘンコウ</t>
    </rPh>
    <rPh sb="12" eb="14">
      <t>バアイ</t>
    </rPh>
    <rPh sb="16" eb="17">
      <t>テ</t>
    </rPh>
    <rPh sb="17" eb="19">
      <t>ニュウリョク</t>
    </rPh>
    <phoneticPr fontId="1"/>
  </si>
  <si>
    <t>← 2025/6/2 のように入力してください（令和7年6月2日と表示されます）</t>
    <rPh sb="24" eb="26">
      <t>レイワ</t>
    </rPh>
    <rPh sb="27" eb="28">
      <t>ネン</t>
    </rPh>
    <rPh sb="29" eb="30">
      <t>ガツ</t>
    </rPh>
    <rPh sb="31" eb="32">
      <t>ニチ</t>
    </rPh>
    <rPh sb="33" eb="35">
      <t>ヒョウジ</t>
    </rPh>
    <phoneticPr fontId="1"/>
  </si>
  <si>
    <r>
      <t>←</t>
    </r>
    <r>
      <rPr>
        <b/>
        <u/>
        <sz val="11"/>
        <color theme="1"/>
        <rFont val="游ゴシック"/>
        <family val="3"/>
        <charset val="128"/>
        <scheme val="minor"/>
      </rPr>
      <t>半角で</t>
    </r>
    <r>
      <rPr>
        <sz val="11"/>
        <color theme="1"/>
        <rFont val="游ゴシック"/>
        <family val="2"/>
        <charset val="128"/>
        <scheme val="minor"/>
      </rPr>
      <t>入力してください</t>
    </r>
    <rPh sb="1" eb="3">
      <t>ハンカク</t>
    </rPh>
    <rPh sb="4" eb="6">
      <t>ニュウリョク</t>
    </rPh>
    <phoneticPr fontId="1"/>
  </si>
  <si>
    <r>
      <t>←</t>
    </r>
    <r>
      <rPr>
        <b/>
        <u/>
        <sz val="11"/>
        <color theme="1"/>
        <rFont val="游ゴシック"/>
        <family val="3"/>
        <charset val="128"/>
        <scheme val="minor"/>
      </rPr>
      <t>ハイフンなし・半角で</t>
    </r>
    <r>
      <rPr>
        <sz val="11"/>
        <color theme="1"/>
        <rFont val="游ゴシック"/>
        <family val="2"/>
        <charset val="128"/>
        <scheme val="minor"/>
      </rPr>
      <t>入力してください</t>
    </r>
    <rPh sb="8" eb="10">
      <t>ハンカク</t>
    </rPh>
    <rPh sb="11" eb="13">
      <t>ニュウリョク</t>
    </rPh>
    <phoneticPr fontId="1"/>
  </si>
  <si>
    <t>← 2025/6/2 のように入力してください（令和7年6月2日と表示されます）</t>
    <phoneticPr fontId="1"/>
  </si>
  <si>
    <r>
      <t>④入力に当たって、</t>
    </r>
    <r>
      <rPr>
        <b/>
        <u/>
        <sz val="11"/>
        <color theme="1"/>
        <rFont val="游ゴシック"/>
        <family val="3"/>
        <charset val="128"/>
        <scheme val="minor"/>
      </rPr>
      <t>以下の行為を行わないでください</t>
    </r>
    <r>
      <rPr>
        <sz val="11"/>
        <color theme="1"/>
        <rFont val="游ゴシック"/>
        <family val="2"/>
        <charset val="128"/>
        <scheme val="minor"/>
      </rPr>
      <t>（シートの参照が崩れて様式が完成しなくなってしまいます。）。</t>
    </r>
    <rPh sb="1" eb="3">
      <t>ニュウリョク</t>
    </rPh>
    <rPh sb="4" eb="5">
      <t>ア</t>
    </rPh>
    <rPh sb="9" eb="11">
      <t>イカ</t>
    </rPh>
    <rPh sb="12" eb="14">
      <t>コウイ</t>
    </rPh>
    <rPh sb="15" eb="16">
      <t>オコナ</t>
    </rPh>
    <rPh sb="29" eb="31">
      <t>サンショウ</t>
    </rPh>
    <rPh sb="32" eb="33">
      <t>クズ</t>
    </rPh>
    <rPh sb="35" eb="37">
      <t>ヨウシキ</t>
    </rPh>
    <rPh sb="38" eb="40">
      <t>カンセイ</t>
    </rPh>
    <phoneticPr fontId="1"/>
  </si>
  <si>
    <r>
      <t>⑤</t>
    </r>
    <r>
      <rPr>
        <b/>
        <u/>
        <sz val="11"/>
        <color theme="1"/>
        <rFont val="游ゴシック"/>
        <family val="3"/>
        <charset val="128"/>
        <scheme val="minor"/>
      </rPr>
      <t>数字は半角で入力</t>
    </r>
    <r>
      <rPr>
        <sz val="11"/>
        <color theme="1"/>
        <rFont val="游ゴシック"/>
        <family val="2"/>
        <charset val="128"/>
        <scheme val="minor"/>
      </rPr>
      <t>してください。</t>
    </r>
    <rPh sb="1" eb="3">
      <t>スウジ</t>
    </rPh>
    <rPh sb="4" eb="6">
      <t>ハンカク</t>
    </rPh>
    <rPh sb="7" eb="9">
      <t>ニュウリョク</t>
    </rPh>
    <phoneticPr fontId="1"/>
  </si>
  <si>
    <t>ご不明な点等ありましたら、地域活動推進課までお尋ねください。</t>
    <rPh sb="1" eb="3">
      <t>フメイ</t>
    </rPh>
    <rPh sb="4" eb="5">
      <t>テン</t>
    </rPh>
    <rPh sb="5" eb="6">
      <t>トウ</t>
    </rPh>
    <rPh sb="13" eb="15">
      <t>チイキ</t>
    </rPh>
    <rPh sb="15" eb="17">
      <t>カツドウ</t>
    </rPh>
    <rPh sb="17" eb="19">
      <t>スイシン</t>
    </rPh>
    <rPh sb="19" eb="20">
      <t>カ</t>
    </rPh>
    <rPh sb="23" eb="24">
      <t>タズ</t>
    </rPh>
    <phoneticPr fontId="1"/>
  </si>
  <si>
    <t>なお、今年度新たに作成したため、頂いた不備の御指摘を踏まえ、予め入力された関数等を更新していく場合があります。</t>
    <rPh sb="3" eb="6">
      <t>コンネンド</t>
    </rPh>
    <rPh sb="6" eb="7">
      <t>アラ</t>
    </rPh>
    <rPh sb="9" eb="11">
      <t>サクセイ</t>
    </rPh>
    <rPh sb="16" eb="17">
      <t>イタダ</t>
    </rPh>
    <rPh sb="19" eb="21">
      <t>フビ</t>
    </rPh>
    <rPh sb="22" eb="25">
      <t>ゴシテキ</t>
    </rPh>
    <rPh sb="26" eb="27">
      <t>フ</t>
    </rPh>
    <rPh sb="30" eb="31">
      <t>アラカジ</t>
    </rPh>
    <rPh sb="32" eb="34">
      <t>ニュウリョク</t>
    </rPh>
    <rPh sb="37" eb="39">
      <t>カンスウ</t>
    </rPh>
    <rPh sb="39" eb="40">
      <t>トウ</t>
    </rPh>
    <rPh sb="41" eb="43">
      <t>コウシン</t>
    </rPh>
    <rPh sb="47" eb="49">
      <t>バアイ</t>
    </rPh>
    <phoneticPr fontId="1"/>
  </si>
  <si>
    <t>※団体情報や連絡責任者情報は「入力フォーム」から自動転記されるようにしていますので、変更承認申請や実績報告時に変更があった場合だけ該当項目を手入力で御修正ください。</t>
    <rPh sb="1" eb="3">
      <t>ダンタイ</t>
    </rPh>
    <rPh sb="3" eb="5">
      <t>ジョウホウ</t>
    </rPh>
    <rPh sb="6" eb="11">
      <t>レンラクセキニンシャ</t>
    </rPh>
    <rPh sb="11" eb="13">
      <t>ジョウホウ</t>
    </rPh>
    <rPh sb="15" eb="17">
      <t>ニュウリョク</t>
    </rPh>
    <rPh sb="24" eb="26">
      <t>ジドウ</t>
    </rPh>
    <rPh sb="26" eb="28">
      <t>テンキ</t>
    </rPh>
    <rPh sb="42" eb="44">
      <t>ヘンコウ</t>
    </rPh>
    <rPh sb="44" eb="46">
      <t>ショウニン</t>
    </rPh>
    <rPh sb="46" eb="48">
      <t>シンセイ</t>
    </rPh>
    <rPh sb="49" eb="51">
      <t>ジッセキ</t>
    </rPh>
    <rPh sb="51" eb="53">
      <t>ホウコク</t>
    </rPh>
    <rPh sb="53" eb="54">
      <t>ジ</t>
    </rPh>
    <rPh sb="55" eb="57">
      <t>ヘンコウ</t>
    </rPh>
    <rPh sb="61" eb="63">
      <t>バアイ</t>
    </rPh>
    <rPh sb="65" eb="67">
      <t>ガイトウ</t>
    </rPh>
    <rPh sb="67" eb="69">
      <t>コウモク</t>
    </rPh>
    <rPh sb="70" eb="71">
      <t>テ</t>
    </rPh>
    <rPh sb="71" eb="73">
      <t>ニュウリョク</t>
    </rPh>
    <rPh sb="74" eb="75">
      <t>ゴ</t>
    </rPh>
    <rPh sb="75" eb="77">
      <t>シュウセイ</t>
    </rPh>
    <phoneticPr fontId="1"/>
  </si>
  <si>
    <r>
      <t>※各フォームのシートは、</t>
    </r>
    <r>
      <rPr>
        <b/>
        <u/>
        <sz val="11"/>
        <color theme="1"/>
        <rFont val="游ゴシック"/>
        <family val="3"/>
        <charset val="128"/>
        <scheme val="minor"/>
      </rPr>
      <t>B列（自動入力とした項目を除く）のみ入力可能</t>
    </r>
    <r>
      <rPr>
        <sz val="11"/>
        <color theme="1"/>
        <rFont val="游ゴシック"/>
        <family val="2"/>
        <charset val="128"/>
        <scheme val="minor"/>
      </rPr>
      <t>としています。</t>
    </r>
    <rPh sb="1" eb="2">
      <t>カク</t>
    </rPh>
    <phoneticPr fontId="1"/>
  </si>
  <si>
    <r>
      <t>②各フォームのシートの</t>
    </r>
    <r>
      <rPr>
        <b/>
        <u/>
        <sz val="11"/>
        <color theme="1"/>
        <rFont val="游ゴシック"/>
        <family val="3"/>
        <charset val="128"/>
        <scheme val="minor"/>
      </rPr>
      <t>C列には入力に当たっての注意事項が書いてあります</t>
    </r>
    <r>
      <rPr>
        <sz val="11"/>
        <color theme="1"/>
        <rFont val="游ゴシック"/>
        <family val="2"/>
        <charset val="128"/>
        <scheme val="minor"/>
      </rPr>
      <t>ので、確認しながら作成を進めてください。</t>
    </r>
    <rPh sb="1" eb="2">
      <t>カク</t>
    </rPh>
    <rPh sb="12" eb="13">
      <t>レツ</t>
    </rPh>
    <rPh sb="15" eb="17">
      <t>ニュウリョク</t>
    </rPh>
    <rPh sb="18" eb="19">
      <t>ア</t>
    </rPh>
    <rPh sb="23" eb="25">
      <t>チュウイ</t>
    </rPh>
    <rPh sb="25" eb="27">
      <t>ジコウ</t>
    </rPh>
    <rPh sb="28" eb="29">
      <t>カ</t>
    </rPh>
    <rPh sb="38" eb="40">
      <t>カクニン</t>
    </rPh>
    <rPh sb="44" eb="46">
      <t>サクセイ</t>
    </rPh>
    <rPh sb="47" eb="48">
      <t>スス</t>
    </rPh>
    <phoneticPr fontId="1"/>
  </si>
  <si>
    <r>
      <t>③各フォームのシートに入力するだけで完成しますので、</t>
    </r>
    <r>
      <rPr>
        <b/>
        <u/>
        <sz val="11"/>
        <color theme="1"/>
        <rFont val="游ゴシック"/>
        <family val="3"/>
        <charset val="128"/>
        <scheme val="minor"/>
      </rPr>
      <t>それ以外のシートには保護を掛けています</t>
    </r>
    <r>
      <rPr>
        <sz val="11"/>
        <color theme="1"/>
        <rFont val="游ゴシック"/>
        <family val="2"/>
        <charset val="128"/>
        <scheme val="minor"/>
      </rPr>
      <t>。</t>
    </r>
    <rPh sb="1" eb="2">
      <t>カク</t>
    </rPh>
    <rPh sb="11" eb="13">
      <t>ニュウリョク</t>
    </rPh>
    <rPh sb="18" eb="20">
      <t>カンセイ</t>
    </rPh>
    <rPh sb="28" eb="30">
      <t>イガイ</t>
    </rPh>
    <rPh sb="36" eb="38">
      <t>ホゴ</t>
    </rPh>
    <rPh sb="39" eb="40">
      <t>カ</t>
    </rPh>
    <phoneticPr fontId="1"/>
  </si>
  <si>
    <t>⑧入力不備がないことを確認後、各様式シートを印刷し、押印の上、必要な添付書類を添えて御郵送ください。</t>
    <rPh sb="1" eb="3">
      <t>ニュウリョク</t>
    </rPh>
    <rPh sb="3" eb="5">
      <t>フビ</t>
    </rPh>
    <rPh sb="11" eb="13">
      <t>カクニン</t>
    </rPh>
    <rPh sb="13" eb="14">
      <t>ゴ</t>
    </rPh>
    <rPh sb="15" eb="18">
      <t>カクヨウシキ</t>
    </rPh>
    <rPh sb="22" eb="24">
      <t>インサツ</t>
    </rPh>
    <rPh sb="26" eb="28">
      <t>オウイン</t>
    </rPh>
    <rPh sb="29" eb="30">
      <t>ウエ</t>
    </rPh>
    <rPh sb="31" eb="33">
      <t>ヒツヨウ</t>
    </rPh>
    <rPh sb="34" eb="36">
      <t>テンプ</t>
    </rPh>
    <rPh sb="36" eb="38">
      <t>ショルイ</t>
    </rPh>
    <rPh sb="39" eb="40">
      <t>ソ</t>
    </rPh>
    <rPh sb="42" eb="45">
      <t>ゴユウソウ</t>
    </rPh>
    <phoneticPr fontId="1"/>
  </si>
  <si>
    <t>⑦各フォームへの入力を終えましたら、各様式シートを確認し、不備があった場合は各フォームに戻って不備となっている項目を修正してください。</t>
    <rPh sb="1" eb="2">
      <t>カク</t>
    </rPh>
    <rPh sb="8" eb="10">
      <t>ニュウリョク</t>
    </rPh>
    <rPh sb="11" eb="12">
      <t>オ</t>
    </rPh>
    <rPh sb="18" eb="21">
      <t>カクヨウシキ</t>
    </rPh>
    <rPh sb="25" eb="27">
      <t>カクニン</t>
    </rPh>
    <rPh sb="29" eb="31">
      <t>フビ</t>
    </rPh>
    <rPh sb="35" eb="37">
      <t>バアイ</t>
    </rPh>
    <rPh sb="38" eb="39">
      <t>カク</t>
    </rPh>
    <rPh sb="44" eb="45">
      <t>モド</t>
    </rPh>
    <rPh sb="47" eb="49">
      <t>フビ</t>
    </rPh>
    <rPh sb="55" eb="57">
      <t>コウモク</t>
    </rPh>
    <rPh sb="58" eb="60">
      <t>シュウセイ</t>
    </rPh>
    <phoneticPr fontId="1"/>
  </si>
  <si>
    <t>・団体の会則、規約等</t>
    <rPh sb="1" eb="3">
      <t>ダンタイ</t>
    </rPh>
    <rPh sb="4" eb="6">
      <t>カイソク</t>
    </rPh>
    <rPh sb="7" eb="9">
      <t>キヤク</t>
    </rPh>
    <rPh sb="9" eb="10">
      <t>トウ</t>
    </rPh>
    <phoneticPr fontId="1"/>
  </si>
  <si>
    <t>・団体の役員名簿</t>
    <rPh sb="1" eb="3">
      <t>ダンタイ</t>
    </rPh>
    <rPh sb="4" eb="6">
      <t>ヤクイン</t>
    </rPh>
    <rPh sb="6" eb="8">
      <t>メイボ</t>
    </rPh>
    <phoneticPr fontId="1"/>
  </si>
  <si>
    <t>・団体の前年度の事業報告書及び決算書（総会の資料等）</t>
    <rPh sb="1" eb="3">
      <t>ダンタイ</t>
    </rPh>
    <rPh sb="4" eb="7">
      <t>ゼンネンド</t>
    </rPh>
    <rPh sb="8" eb="10">
      <t>ジギョウ</t>
    </rPh>
    <rPh sb="10" eb="13">
      <t>ホウコクショ</t>
    </rPh>
    <rPh sb="13" eb="14">
      <t>オヨ</t>
    </rPh>
    <rPh sb="15" eb="18">
      <t>ケッサンショ</t>
    </rPh>
    <rPh sb="19" eb="21">
      <t>ソウカイ</t>
    </rPh>
    <rPh sb="22" eb="24">
      <t>シリョウ</t>
    </rPh>
    <rPh sb="24" eb="25">
      <t>トウ</t>
    </rPh>
    <phoneticPr fontId="1"/>
  </si>
  <si>
    <t>・見積書の写し（単価×数量が５万円を超える経費については原則必要です。）</t>
    <rPh sb="1" eb="4">
      <t>ミツモリショ</t>
    </rPh>
    <rPh sb="5" eb="6">
      <t>ウツ</t>
    </rPh>
    <rPh sb="8" eb="10">
      <t>タンカ</t>
    </rPh>
    <rPh sb="11" eb="13">
      <t>スウリョウ</t>
    </rPh>
    <rPh sb="15" eb="17">
      <t>マンエン</t>
    </rPh>
    <rPh sb="18" eb="19">
      <t>コ</t>
    </rPh>
    <rPh sb="21" eb="23">
      <t>ケイヒ</t>
    </rPh>
    <rPh sb="28" eb="30">
      <t>ゲンソク</t>
    </rPh>
    <rPh sb="30" eb="32">
      <t>ヒツヨウ</t>
    </rPh>
    <phoneticPr fontId="1"/>
  </si>
  <si>
    <t>　※従来内訳書で対応した経費については、支出内容に内訳を記載するようにしてください。</t>
    <rPh sb="2" eb="4">
      <t>ジュウライ</t>
    </rPh>
    <rPh sb="4" eb="7">
      <t>ウチワケショ</t>
    </rPh>
    <rPh sb="8" eb="10">
      <t>タイオウ</t>
    </rPh>
    <rPh sb="12" eb="14">
      <t>ケイヒ</t>
    </rPh>
    <rPh sb="20" eb="22">
      <t>シシュツ</t>
    </rPh>
    <rPh sb="22" eb="24">
      <t>ナイヨウ</t>
    </rPh>
    <rPh sb="25" eb="27">
      <t>ウチワケ</t>
    </rPh>
    <rPh sb="28" eb="30">
      <t>キサイ</t>
    </rPh>
    <phoneticPr fontId="1"/>
  </si>
  <si>
    <t>（Ｃ区分のみ提出する書類）</t>
    <rPh sb="2" eb="4">
      <t>クブン</t>
    </rPh>
    <rPh sb="6" eb="8">
      <t>テイシュツ</t>
    </rPh>
    <rPh sb="10" eb="12">
      <t>ショルイ</t>
    </rPh>
    <phoneticPr fontId="1"/>
  </si>
  <si>
    <t>・別紙　事業の共同実施・連携実施に係る合意書兼委任状</t>
    <rPh sb="1" eb="3">
      <t>ベッシ</t>
    </rPh>
    <rPh sb="4" eb="6">
      <t>ジギョウ</t>
    </rPh>
    <rPh sb="7" eb="9">
      <t>キョウドウ</t>
    </rPh>
    <rPh sb="9" eb="11">
      <t>ジッシ</t>
    </rPh>
    <rPh sb="12" eb="14">
      <t>レンケイ</t>
    </rPh>
    <rPh sb="14" eb="16">
      <t>ジッシ</t>
    </rPh>
    <rPh sb="17" eb="18">
      <t>カカ</t>
    </rPh>
    <rPh sb="19" eb="22">
      <t>ゴウイショ</t>
    </rPh>
    <rPh sb="22" eb="23">
      <t>ケン</t>
    </rPh>
    <rPh sb="23" eb="26">
      <t>イニンジョウ</t>
    </rPh>
    <phoneticPr fontId="1"/>
  </si>
  <si>
    <t>・共同する全ての団体の会則、規約等</t>
    <rPh sb="1" eb="3">
      <t>キョウドウ</t>
    </rPh>
    <rPh sb="5" eb="6">
      <t>スベ</t>
    </rPh>
    <rPh sb="8" eb="10">
      <t>ダンタイ</t>
    </rPh>
    <rPh sb="11" eb="13">
      <t>カイソク</t>
    </rPh>
    <rPh sb="14" eb="16">
      <t>キヤク</t>
    </rPh>
    <rPh sb="16" eb="17">
      <t>トウ</t>
    </rPh>
    <phoneticPr fontId="1"/>
  </si>
  <si>
    <t>・共同する全ての団体の役員名簿</t>
    <rPh sb="1" eb="3">
      <t>キョウドウ</t>
    </rPh>
    <rPh sb="5" eb="6">
      <t>スベ</t>
    </rPh>
    <rPh sb="8" eb="10">
      <t>ダンタイ</t>
    </rPh>
    <rPh sb="11" eb="13">
      <t>ヤクイン</t>
    </rPh>
    <rPh sb="13" eb="15">
      <t>メイボ</t>
    </rPh>
    <phoneticPr fontId="1"/>
  </si>
  <si>
    <t>・共同する全ての団体の前年度の事業報告書及び決算書（総会の資料等）</t>
    <rPh sb="1" eb="3">
      <t>キョウドウ</t>
    </rPh>
    <rPh sb="5" eb="6">
      <t>スベ</t>
    </rPh>
    <rPh sb="8" eb="10">
      <t>ダンタイ</t>
    </rPh>
    <rPh sb="11" eb="14">
      <t>ゼンネンド</t>
    </rPh>
    <rPh sb="15" eb="17">
      <t>ジギョウ</t>
    </rPh>
    <rPh sb="17" eb="20">
      <t>ホウコクショ</t>
    </rPh>
    <rPh sb="20" eb="21">
      <t>オヨ</t>
    </rPh>
    <rPh sb="22" eb="25">
      <t>ケッサンショ</t>
    </rPh>
    <rPh sb="26" eb="28">
      <t>ソウカイ</t>
    </rPh>
    <rPh sb="29" eb="31">
      <t>シリョウ</t>
    </rPh>
    <rPh sb="31" eb="32">
      <t>トウ</t>
    </rPh>
    <phoneticPr fontId="1"/>
  </si>
  <si>
    <t>（Ｄ区分のみ提出する書類）</t>
    <rPh sb="2" eb="4">
      <t>クブン</t>
    </rPh>
    <rPh sb="6" eb="8">
      <t>テイシュツ</t>
    </rPh>
    <rPh sb="10" eb="12">
      <t>ショルイ</t>
    </rPh>
    <phoneticPr fontId="1"/>
  </si>
  <si>
    <t>・連携する全ての地域団体の定款、会則、規約等</t>
    <rPh sb="1" eb="3">
      <t>レンケイ</t>
    </rPh>
    <rPh sb="5" eb="6">
      <t>スベ</t>
    </rPh>
    <rPh sb="8" eb="10">
      <t>チイキ</t>
    </rPh>
    <rPh sb="10" eb="12">
      <t>ダンタイ</t>
    </rPh>
    <rPh sb="13" eb="15">
      <t>テイカン</t>
    </rPh>
    <rPh sb="16" eb="18">
      <t>カイソク</t>
    </rPh>
    <rPh sb="19" eb="21">
      <t>キヤク</t>
    </rPh>
    <rPh sb="21" eb="22">
      <t>トウ</t>
    </rPh>
    <phoneticPr fontId="1"/>
  </si>
  <si>
    <t>・共同する全ての団体の前年度の事業報告書</t>
    <rPh sb="1" eb="3">
      <t>キョウドウ</t>
    </rPh>
    <rPh sb="5" eb="6">
      <t>スベ</t>
    </rPh>
    <rPh sb="8" eb="10">
      <t>ダンタイ</t>
    </rPh>
    <rPh sb="11" eb="14">
      <t>ゼンネンド</t>
    </rPh>
    <rPh sb="15" eb="17">
      <t>ジギョウ</t>
    </rPh>
    <rPh sb="17" eb="20">
      <t>ホウコクショ</t>
    </rPh>
    <phoneticPr fontId="1"/>
  </si>
  <si>
    <t>【参考：交付申請に必要な添付書類】</t>
    <rPh sb="1" eb="3">
      <t>サンコウ</t>
    </rPh>
    <rPh sb="4" eb="6">
      <t>コウフ</t>
    </rPh>
    <rPh sb="6" eb="8">
      <t>シンセイ</t>
    </rPh>
    <rPh sb="9" eb="11">
      <t>ヒツヨウ</t>
    </rPh>
    <rPh sb="12" eb="14">
      <t>テンプ</t>
    </rPh>
    <rPh sb="14" eb="16">
      <t>ショルイ</t>
    </rPh>
    <phoneticPr fontId="1"/>
  </si>
  <si>
    <t>【参考：概算払請求に必要な添付書類】</t>
    <rPh sb="1" eb="3">
      <t>サンコウ</t>
    </rPh>
    <rPh sb="4" eb="7">
      <t>ガイサンバライ</t>
    </rPh>
    <rPh sb="7" eb="9">
      <t>セイキュウ</t>
    </rPh>
    <rPh sb="10" eb="12">
      <t>ヒツヨウ</t>
    </rPh>
    <rPh sb="13" eb="17">
      <t>テンプショルイ</t>
    </rPh>
    <phoneticPr fontId="1"/>
  </si>
  <si>
    <t>・助成金支払情報確認票</t>
    <rPh sb="1" eb="3">
      <t>ジョセイ</t>
    </rPh>
    <rPh sb="3" eb="4">
      <t>キン</t>
    </rPh>
    <rPh sb="4" eb="6">
      <t>シハライ</t>
    </rPh>
    <rPh sb="6" eb="8">
      <t>ジョウホウ</t>
    </rPh>
    <rPh sb="8" eb="10">
      <t>カクニン</t>
    </rPh>
    <rPh sb="10" eb="11">
      <t>ヒョウ</t>
    </rPh>
    <phoneticPr fontId="1"/>
  </si>
  <si>
    <t>・支払金口座振替依頼書</t>
    <rPh sb="1" eb="11">
      <t>シハライキンコウザフリカエイライショ</t>
    </rPh>
    <phoneticPr fontId="1"/>
  </si>
  <si>
    <t>・通帳の見開きページの写し</t>
    <rPh sb="1" eb="3">
      <t>ツウチョウ</t>
    </rPh>
    <rPh sb="4" eb="6">
      <t>ミヒラ</t>
    </rPh>
    <rPh sb="11" eb="12">
      <t>ウツ</t>
    </rPh>
    <phoneticPr fontId="1"/>
  </si>
  <si>
    <t>（口座名義人が【団体名＋会長以外】の場合）</t>
    <rPh sb="1" eb="3">
      <t>コウザ</t>
    </rPh>
    <rPh sb="3" eb="6">
      <t>メイギニン</t>
    </rPh>
    <rPh sb="8" eb="10">
      <t>ダンタイ</t>
    </rPh>
    <rPh sb="10" eb="11">
      <t>メイ</t>
    </rPh>
    <rPh sb="12" eb="14">
      <t>カイチョウ</t>
    </rPh>
    <rPh sb="14" eb="16">
      <t>イガイ</t>
    </rPh>
    <rPh sb="18" eb="20">
      <t>バアイ</t>
    </rPh>
    <phoneticPr fontId="1"/>
  </si>
  <si>
    <t>・委任状</t>
    <rPh sb="1" eb="4">
      <t>イニンジョウ</t>
    </rPh>
    <phoneticPr fontId="1"/>
  </si>
  <si>
    <t>・支払金口座振替依頼書（委任状に記載の代理人の情報を御記載ください。）</t>
    <rPh sb="1" eb="11">
      <t>シハライキンコウザフリカエイライショ</t>
    </rPh>
    <rPh sb="12" eb="15">
      <t>イニンジョウ</t>
    </rPh>
    <rPh sb="16" eb="18">
      <t>キサイ</t>
    </rPh>
    <rPh sb="19" eb="22">
      <t>ダイリニン</t>
    </rPh>
    <rPh sb="23" eb="25">
      <t>ジョウホウ</t>
    </rPh>
    <rPh sb="26" eb="27">
      <t>ゴ</t>
    </rPh>
    <rPh sb="27" eb="29">
      <t>キサイ</t>
    </rPh>
    <phoneticPr fontId="1"/>
  </si>
  <si>
    <t>【参考：実績報告に必要な添付書類】</t>
    <rPh sb="1" eb="3">
      <t>サンコウ</t>
    </rPh>
    <rPh sb="4" eb="6">
      <t>ジッセキ</t>
    </rPh>
    <rPh sb="6" eb="8">
      <t>ホウコク</t>
    </rPh>
    <rPh sb="9" eb="11">
      <t>ヒツヨウ</t>
    </rPh>
    <rPh sb="12" eb="17">
      <t>テンプショルイ」</t>
    </rPh>
    <phoneticPr fontId="1"/>
  </si>
  <si>
    <t>・領収書、受領書（写しによる提出も可）※必要に応じて原本の提出をお願いすることもあります。</t>
    <rPh sb="1" eb="4">
      <t>リョウシュウショ</t>
    </rPh>
    <rPh sb="5" eb="8">
      <t>ジュリョウショ</t>
    </rPh>
    <rPh sb="9" eb="10">
      <t>ウツ</t>
    </rPh>
    <rPh sb="14" eb="16">
      <t>テイシュツ</t>
    </rPh>
    <rPh sb="17" eb="18">
      <t>カ</t>
    </rPh>
    <rPh sb="20" eb="22">
      <t>ヒツヨウ</t>
    </rPh>
    <rPh sb="23" eb="24">
      <t>オウ</t>
    </rPh>
    <rPh sb="26" eb="28">
      <t>ゲンポン</t>
    </rPh>
    <rPh sb="29" eb="31">
      <t>テイシュツ</t>
    </rPh>
    <rPh sb="33" eb="34">
      <t>ネガ</t>
    </rPh>
    <phoneticPr fontId="1"/>
  </si>
  <si>
    <t>・成果物（写真や助成金を活用して作成した冊子、マニュアル等）</t>
    <rPh sb="1" eb="4">
      <t>セイカブツ</t>
    </rPh>
    <rPh sb="5" eb="7">
      <t>シャシン</t>
    </rPh>
    <rPh sb="8" eb="11">
      <t>ジョセイキン</t>
    </rPh>
    <rPh sb="12" eb="14">
      <t>カツヨウ</t>
    </rPh>
    <rPh sb="16" eb="18">
      <t>サクセイ</t>
    </rPh>
    <rPh sb="20" eb="22">
      <t>サッシ</t>
    </rPh>
    <rPh sb="28" eb="29">
      <t>トウ</t>
    </rPh>
    <phoneticPr fontId="1"/>
  </si>
  <si>
    <t>・助成事業であることを公表したことが分かる書類（ポスター、看板、広報紙等）</t>
    <rPh sb="1" eb="3">
      <t>ジョセイ</t>
    </rPh>
    <rPh sb="3" eb="5">
      <t>ジギョウ</t>
    </rPh>
    <rPh sb="11" eb="13">
      <t>コウヒョウ</t>
    </rPh>
    <rPh sb="18" eb="19">
      <t>ワ</t>
    </rPh>
    <rPh sb="21" eb="23">
      <t>ショルイ</t>
    </rPh>
    <rPh sb="29" eb="31">
      <t>カンバン</t>
    </rPh>
    <rPh sb="32" eb="34">
      <t>コウホウ</t>
    </rPh>
    <rPh sb="34" eb="35">
      <t>カミ</t>
    </rPh>
    <rPh sb="35" eb="36">
      <t>トウ</t>
    </rPh>
    <phoneticPr fontId="1"/>
  </si>
  <si>
    <t>・委任状（口座名義人が【団体名＋会長以外】の場合のみ）</t>
    <rPh sb="1" eb="4">
      <t>イニンジョウ</t>
    </rPh>
    <rPh sb="5" eb="10">
      <t>コウザメイギニン</t>
    </rPh>
    <rPh sb="12" eb="14">
      <t>ダンタイ</t>
    </rPh>
    <rPh sb="14" eb="15">
      <t>メイ</t>
    </rPh>
    <rPh sb="16" eb="18">
      <t>カイチョウ</t>
    </rPh>
    <rPh sb="18" eb="20">
      <t>イガイ</t>
    </rPh>
    <rPh sb="22" eb="24">
      <t>バアイ</t>
    </rPh>
    <phoneticPr fontId="1"/>
  </si>
  <si>
    <t>・支払金口座振替依頼書　※口座名義人が【団体名＋会長以外】の場合は、委任状に記載の代理人の情報を御記載ください。</t>
    <rPh sb="1" eb="11">
      <t>シハライキンコウザフリカエイライショ</t>
    </rPh>
    <rPh sb="13" eb="15">
      <t>コウザ</t>
    </rPh>
    <rPh sb="15" eb="18">
      <t>メイギニン</t>
    </rPh>
    <rPh sb="20" eb="23">
      <t>ダンタイメイ</t>
    </rPh>
    <rPh sb="24" eb="28">
      <t>カイチョウイガイ</t>
    </rPh>
    <rPh sb="30" eb="32">
      <t>バアイ</t>
    </rPh>
    <phoneticPr fontId="1"/>
  </si>
  <si>
    <t>・実績報告内容確認書（Ｃ区分・Ｄ区分の場合のみ）</t>
    <rPh sb="1" eb="3">
      <t>ジッセキ</t>
    </rPh>
    <rPh sb="3" eb="5">
      <t>ホウコク</t>
    </rPh>
    <rPh sb="5" eb="7">
      <t>ナイヨウ</t>
    </rPh>
    <rPh sb="7" eb="10">
      <t>カクニンショ</t>
    </rPh>
    <rPh sb="12" eb="14">
      <t>クブン</t>
    </rPh>
    <rPh sb="16" eb="18">
      <t>クブン</t>
    </rPh>
    <rPh sb="19" eb="21">
      <t>バアイ</t>
    </rPh>
    <phoneticPr fontId="1"/>
  </si>
  <si>
    <t>・本団体の役員が代表を務める企業等への支出に係る同意書又は役員会議事録（該当する場合のみ）</t>
    <rPh sb="1" eb="2">
      <t>ホン</t>
    </rPh>
    <rPh sb="2" eb="4">
      <t>ダンタイ</t>
    </rPh>
    <rPh sb="5" eb="7">
      <t>ヤクイン</t>
    </rPh>
    <rPh sb="8" eb="10">
      <t>ダイヒョウ</t>
    </rPh>
    <rPh sb="11" eb="12">
      <t>ツト</t>
    </rPh>
    <rPh sb="14" eb="16">
      <t>キギョウ</t>
    </rPh>
    <rPh sb="16" eb="17">
      <t>トウ</t>
    </rPh>
    <rPh sb="19" eb="21">
      <t>シシュツ</t>
    </rPh>
    <rPh sb="22" eb="23">
      <t>カカ</t>
    </rPh>
    <rPh sb="24" eb="27">
      <t>ドウイショ</t>
    </rPh>
    <rPh sb="27" eb="28">
      <t>マタ</t>
    </rPh>
    <rPh sb="29" eb="31">
      <t>ヤクイン</t>
    </rPh>
    <rPh sb="31" eb="32">
      <t>カイ</t>
    </rPh>
    <rPh sb="32" eb="35">
      <t>ギジロク</t>
    </rPh>
    <rPh sb="36" eb="38">
      <t>ガイトウ</t>
    </rPh>
    <rPh sb="40" eb="42">
      <t>バアイ</t>
    </rPh>
    <phoneticPr fontId="1"/>
  </si>
  <si>
    <t>・変更理由書（必要な場合のみ）</t>
    <rPh sb="1" eb="3">
      <t>ヘンコウ</t>
    </rPh>
    <rPh sb="3" eb="6">
      <t>リユウショ</t>
    </rPh>
    <rPh sb="7" eb="9">
      <t>ヒツヨウ</t>
    </rPh>
    <rPh sb="10" eb="12">
      <t>バアイ</t>
    </rPh>
    <phoneticPr fontId="1"/>
  </si>
  <si>
    <t>・第12号様式（概算払を受けた団体のみ）</t>
    <rPh sb="1" eb="2">
      <t>ダイ</t>
    </rPh>
    <rPh sb="4" eb="5">
      <t>ゴウ</t>
    </rPh>
    <rPh sb="5" eb="7">
      <t>ヨウシキ</t>
    </rPh>
    <rPh sb="8" eb="10">
      <t>ガイサン</t>
    </rPh>
    <rPh sb="10" eb="11">
      <t>バライ</t>
    </rPh>
    <rPh sb="12" eb="13">
      <t>ウ</t>
    </rPh>
    <rPh sb="15" eb="17">
      <t>ダンタイ</t>
    </rPh>
    <phoneticPr fontId="1"/>
  </si>
  <si>
    <t>東京一丁目町会</t>
    <rPh sb="0" eb="7">
      <t>トウキョウイッチョウメチョウカイ</t>
    </rPh>
    <phoneticPr fontId="1"/>
  </si>
  <si>
    <t>単一</t>
    <rPh sb="0" eb="2">
      <t>タンイツ</t>
    </rPh>
    <phoneticPr fontId="1"/>
  </si>
  <si>
    <t>○○区△△１－２－１</t>
    <rPh sb="2" eb="3">
      <t>ク</t>
    </rPh>
    <phoneticPr fontId="1"/>
  </si>
  <si>
    <t>会長</t>
    <rPh sb="0" eb="2">
      <t>カイチョウ</t>
    </rPh>
    <phoneticPr fontId="1"/>
  </si>
  <si>
    <t>東京　太郎</t>
    <rPh sb="0" eb="2">
      <t>トウキョウ</t>
    </rPh>
    <rPh sb="3" eb="5">
      <t>タロウ</t>
    </rPh>
    <phoneticPr fontId="1"/>
  </si>
  <si>
    <t>03-5321-XXXX</t>
    <phoneticPr fontId="1"/>
  </si>
  <si>
    <t>副会長</t>
    <rPh sb="0" eb="3">
      <t>フクカイチョウ</t>
    </rPh>
    <phoneticPr fontId="1"/>
  </si>
  <si>
    <t>新宿　花子</t>
    <rPh sb="0" eb="2">
      <t>シンジュク</t>
    </rPh>
    <rPh sb="3" eb="5">
      <t>ハナコ</t>
    </rPh>
    <phoneticPr fontId="1"/>
  </si>
  <si>
    <t>03-5321-YYYY</t>
    <phoneticPr fontId="1"/>
  </si>
  <si>
    <t>090-1234-ZZZZ</t>
    <phoneticPr fontId="1"/>
  </si>
  <si>
    <t>03-5321-ZZZZ</t>
    <phoneticPr fontId="1"/>
  </si>
  <si>
    <t>hanako-s@toooo.xxxx.jp</t>
    <phoneticPr fontId="1"/>
  </si>
  <si>
    <t>☑</t>
  </si>
  <si>
    <t>含んでいない</t>
  </si>
  <si>
    <t>ある</t>
  </si>
  <si>
    <t>令和６年</t>
  </si>
  <si>
    <t>３月末現在</t>
  </si>
  <si>
    <t>令和７</t>
  </si>
  <si>
    <t>いいえ</t>
  </si>
  <si>
    <t>はい</t>
  </si>
  <si>
    <t>一式</t>
    <rPh sb="0" eb="2">
      <t>イッシキ</t>
    </rPh>
    <phoneticPr fontId="1"/>
  </si>
  <si>
    <t>○○区△△３－２－１４</t>
    <phoneticPr fontId="1"/>
  </si>
  <si>
    <t>無</t>
  </si>
  <si>
    <t>10月18日</t>
    <rPh sb="2" eb="3">
      <t>ガツ</t>
    </rPh>
    <rPh sb="5" eb="6">
      <t>ニチ</t>
    </rPh>
    <phoneticPr fontId="1"/>
  </si>
  <si>
    <t>団体名</t>
  </si>
  <si>
    <t>代表者役職・氏名（自署）</t>
  </si>
  <si>
    <t>印</t>
  </si>
  <si>
    <t>　　印</t>
  </si>
  <si>
    <t>Ｂ－Ｓ　デジタル活用支援</t>
  </si>
  <si>
    <t>電子回覧板アプリ導入に向けたアプリ使用講座</t>
    <rPh sb="0" eb="2">
      <t>デンシ</t>
    </rPh>
    <rPh sb="2" eb="5">
      <t>カイランバン</t>
    </rPh>
    <rPh sb="8" eb="10">
      <t>ドウニュウ</t>
    </rPh>
    <rPh sb="11" eb="12">
      <t>ム</t>
    </rPh>
    <rPh sb="17" eb="19">
      <t>シヨウ</t>
    </rPh>
    <rPh sb="19" eb="21">
      <t>コウザ</t>
    </rPh>
    <phoneticPr fontId="1"/>
  </si>
  <si>
    <t>電子回覧板アプリの導入により、町会の活動内容を広くお知らせするとともに、より町会活動への参加者数増を図る。</t>
    <rPh sb="0" eb="5">
      <t>デンシカイランバン</t>
    </rPh>
    <rPh sb="9" eb="11">
      <t>ドウニュウ</t>
    </rPh>
    <rPh sb="15" eb="17">
      <t>チョウカイ</t>
    </rPh>
    <rPh sb="18" eb="20">
      <t>カツドウ</t>
    </rPh>
    <rPh sb="20" eb="22">
      <t>ナイヨウ</t>
    </rPh>
    <rPh sb="23" eb="24">
      <t>ヒロ</t>
    </rPh>
    <rPh sb="26" eb="27">
      <t>シ</t>
    </rPh>
    <rPh sb="38" eb="40">
      <t>チョウカイ</t>
    </rPh>
    <rPh sb="40" eb="42">
      <t>カツドウ</t>
    </rPh>
    <rPh sb="44" eb="46">
      <t>サンカ</t>
    </rPh>
    <rPh sb="46" eb="47">
      <t>シャ</t>
    </rPh>
    <rPh sb="47" eb="48">
      <t>スウ</t>
    </rPh>
    <rPh sb="48" eb="49">
      <t>ゾウ</t>
    </rPh>
    <rPh sb="50" eb="51">
      <t>ハカ</t>
    </rPh>
    <phoneticPr fontId="1"/>
  </si>
  <si>
    <t>東京一丁目町会会館</t>
    <rPh sb="0" eb="7">
      <t>トウキョウイッチョウメチョウカイ</t>
    </rPh>
    <rPh sb="7" eb="9">
      <t>カイカン</t>
    </rPh>
    <phoneticPr fontId="1"/>
  </si>
  <si>
    <t>雨天決行</t>
    <rPh sb="0" eb="2">
      <t>ウテン</t>
    </rPh>
    <rPh sb="2" eb="4">
      <t>ケッコウ</t>
    </rPh>
    <phoneticPr fontId="1"/>
  </si>
  <si>
    <t>上</t>
  </si>
  <si>
    <t>講座資料投影用プロジェクター</t>
    <rPh sb="0" eb="2">
      <t>コウザ</t>
    </rPh>
    <rPh sb="2" eb="4">
      <t>シリョウ</t>
    </rPh>
    <rPh sb="4" eb="7">
      <t>トウエイヨウ</t>
    </rPh>
    <phoneticPr fontId="1"/>
  </si>
  <si>
    <t>講座講師謝礼</t>
    <rPh sb="0" eb="2">
      <t>コウザ</t>
    </rPh>
    <rPh sb="2" eb="4">
      <t>コウシ</t>
    </rPh>
    <rPh sb="4" eb="6">
      <t>シャレイ</t>
    </rPh>
    <phoneticPr fontId="1"/>
  </si>
  <si>
    <t>アプリ利用の習熟を促すため、講座にはスマートフォンの操作に慣れた会員複数名を受講者のサポート役として配置する。また、町会活動を広く知ってもらうため、近隣の中学校・高校にも周知を依頼する。</t>
    <rPh sb="9" eb="10">
      <t>ウナガ</t>
    </rPh>
    <rPh sb="14" eb="16">
      <t>コウザ</t>
    </rPh>
    <rPh sb="26" eb="28">
      <t>ソウサ</t>
    </rPh>
    <rPh sb="29" eb="30">
      <t>ナ</t>
    </rPh>
    <rPh sb="32" eb="34">
      <t>カイイン</t>
    </rPh>
    <rPh sb="34" eb="37">
      <t>フクスウメイ</t>
    </rPh>
    <rPh sb="38" eb="41">
      <t>ジュコウシャ</t>
    </rPh>
    <rPh sb="46" eb="47">
      <t>ヤク</t>
    </rPh>
    <rPh sb="50" eb="52">
      <t>ハイチ</t>
    </rPh>
    <rPh sb="58" eb="62">
      <t>チョウカイカツドウ</t>
    </rPh>
    <rPh sb="63" eb="64">
      <t>ヒロ</t>
    </rPh>
    <rPh sb="65" eb="66">
      <t>シ</t>
    </rPh>
    <rPh sb="74" eb="76">
      <t>キンリン</t>
    </rPh>
    <rPh sb="77" eb="80">
      <t>チュウガッコウ</t>
    </rPh>
    <rPh sb="81" eb="83">
      <t>コウコウ</t>
    </rPh>
    <rPh sb="85" eb="87">
      <t>シュウチ</t>
    </rPh>
    <rPh sb="88" eb="90">
      <t>イライ</t>
    </rPh>
    <phoneticPr fontId="1"/>
  </si>
  <si>
    <t>チラシ作成用プリンター</t>
    <rPh sb="3" eb="6">
      <t>サクセイヨウ</t>
    </rPh>
    <phoneticPr fontId="1"/>
  </si>
  <si>
    <t>講座会場使用料</t>
    <rPh sb="0" eb="2">
      <t>コウザ</t>
    </rPh>
    <rPh sb="2" eb="4">
      <t>カイジョウ</t>
    </rPh>
    <rPh sb="4" eb="7">
      <t>シヨウリョウ</t>
    </rPh>
    <phoneticPr fontId="1"/>
  </si>
  <si>
    <t>講座資料投影用ノートパソコン</t>
    <rPh sb="0" eb="2">
      <t>コウザ</t>
    </rPh>
    <rPh sb="2" eb="4">
      <t>シリョウ</t>
    </rPh>
    <rPh sb="4" eb="7">
      <t>トウエイヨウ</t>
    </rPh>
    <phoneticPr fontId="1"/>
  </si>
  <si>
    <t>Wi-Fiルーター（講座当日利用分）</t>
    <rPh sb="10" eb="12">
      <t>コウザ</t>
    </rPh>
    <rPh sb="12" eb="14">
      <t>トウジツ</t>
    </rPh>
    <rPh sb="14" eb="16">
      <t>リヨウ</t>
    </rPh>
    <rPh sb="16" eb="17">
      <t>ブン</t>
    </rPh>
    <phoneticPr fontId="1"/>
  </si>
  <si>
    <t>事務用品（A4コピー用紙1束、インクカートリッジ）</t>
    <phoneticPr fontId="1"/>
  </si>
  <si>
    <t>打合せ・当日参加者用水分補給用飲料（500mlペットボトル）</t>
    <rPh sb="0" eb="2">
      <t>ウチアワ</t>
    </rPh>
    <rPh sb="4" eb="6">
      <t>トウジツ</t>
    </rPh>
    <rPh sb="6" eb="10">
      <t>サンカシャヨウ</t>
    </rPh>
    <rPh sb="10" eb="17">
      <t>スイブンホキュウヨウインリョウ</t>
    </rPh>
    <phoneticPr fontId="1"/>
  </si>
  <si>
    <t>チラシ、回覧板、HP・SNS</t>
    <rPh sb="4" eb="7">
      <t>カイランバン</t>
    </rPh>
    <phoneticPr fontId="1"/>
  </si>
  <si>
    <t>東京一丁目町会会館</t>
    <rPh sb="7" eb="9">
      <t>カイカン</t>
    </rPh>
    <phoneticPr fontId="1"/>
  </si>
  <si>
    <t>中学校・高校への呼びかけを通じて参加してくれた世帯が町会に加入してくれた。</t>
    <rPh sb="0" eb="3">
      <t>チュウガッコウ</t>
    </rPh>
    <rPh sb="4" eb="6">
      <t>コウコウ</t>
    </rPh>
    <rPh sb="8" eb="9">
      <t>ヨ</t>
    </rPh>
    <rPh sb="13" eb="14">
      <t>ツウ</t>
    </rPh>
    <rPh sb="16" eb="18">
      <t>サンカ</t>
    </rPh>
    <rPh sb="23" eb="25">
      <t>セタイ</t>
    </rPh>
    <rPh sb="26" eb="28">
      <t>チョウカイ</t>
    </rPh>
    <rPh sb="29" eb="31">
      <t>カニュウ</t>
    </rPh>
    <phoneticPr fontId="1"/>
  </si>
  <si>
    <t>・事業のほとんどを委託料等で支出する事業</t>
    <rPh sb="1" eb="3">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</si>
</sst>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DBNum3][$-411]0"/>
    <numFmt numFmtId="178" formatCode="[$-411]ggge&quot;年&quot;m&quot;月&quot;d&quot;日&quot;;@"/>
    <numFmt numFmtId="179" formatCode="#,##0_);[Red]\(#,##0\)"/>
    <numFmt numFmtId="180" formatCode="#,##0.0;[Red]\-#,##0.0"/>
    <numFmt numFmtId="181" formatCode="m&quot;月&quot;d&quot;日&quot;;@"/>
    <numFmt numFmtId="182" formatCode="[DBNum3][$-411]#,##0"/>
    <numFmt numFmtId="183" formatCode="&quot;〒&quot;000\-0000"/>
    <numFmt numFmtId="184" formatCode="#,##0&quot;冊&quot;"/>
    <numFmt numFmtId="185" formatCode="#,##0&quot;本&quot;"/>
    <numFmt numFmtId="186" formatCode="#,##0&quot;袋&quot;"/>
    <numFmt numFmtId="187" formatCode="#,##0&quot;字入力済&quot;"/>
    <numFmt numFmtId="188" formatCode="[$-411]m&quot;月&quot;d&quot;日&quot;;@"/>
  </numFmts>
  <fonts count="48"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0.5"/>
      <color theme="1"/>
      <name val="ＭＳ Ｐゴシック"/>
      <family val="3"/>
      <charset val="128"/>
    </font>
    <font>
      <sz val="10.5"/>
      <color theme="1"/>
      <name val="ＭＳ 明朝"/>
      <family val="1"/>
      <charset val="128"/>
    </font>
    <font>
      <b/>
      <sz val="10.5"/>
      <color theme="1"/>
      <name val="ＭＳ Ｐゴシック"/>
      <family val="3"/>
      <charset val="128"/>
    </font>
    <font>
      <sz val="12"/>
      <color theme="1"/>
      <name val="ＭＳ 明朝"/>
      <family val="1"/>
      <charset val="128"/>
    </font>
    <font>
      <sz val="10.5"/>
      <color rgb="FF000000"/>
      <name val="ＭＳ 明朝"/>
      <family val="1"/>
      <charset val="128"/>
    </font>
    <font>
      <sz val="9"/>
      <color theme="1"/>
      <name val="ＭＳ 明朝"/>
      <family val="1"/>
      <charset val="128"/>
    </font>
    <font>
      <sz val="14"/>
      <color theme="1"/>
      <name val="ＭＳ ゴシック"/>
      <family val="3"/>
      <charset val="128"/>
    </font>
    <font>
      <b/>
      <sz val="5"/>
      <color theme="1"/>
      <name val="Century"/>
      <family val="1"/>
    </font>
    <font>
      <sz val="14"/>
      <color theme="1"/>
      <name val="ＭＳ Ｐゴシック"/>
      <family val="3"/>
      <charset val="128"/>
    </font>
    <font>
      <u/>
      <sz val="11"/>
      <color theme="10"/>
      <name val="游ゴシック"/>
      <family val="2"/>
      <charset val="128"/>
      <scheme val="minor"/>
    </font>
    <font>
      <b/>
      <u/>
      <sz val="11"/>
      <color theme="1"/>
      <name val="游ゴシック"/>
      <family val="3"/>
      <charset val="128"/>
      <scheme val="minor"/>
    </font>
    <font>
      <b/>
      <sz val="10.5"/>
      <color theme="1"/>
      <name val="ＭＳ 明朝"/>
      <family val="1"/>
      <charset val="128"/>
    </font>
    <font>
      <sz val="11"/>
      <name val="ＭＳ Ｐゴシック"/>
      <family val="3"/>
      <charset val="128"/>
    </font>
    <font>
      <sz val="6"/>
      <name val="ＭＳ Ｐゴシック"/>
      <family val="3"/>
      <charset val="128"/>
    </font>
    <font>
      <sz val="16"/>
      <name val="ＭＳ Ｐ明朝"/>
      <family val="1"/>
      <charset val="128"/>
    </font>
    <font>
      <sz val="10"/>
      <name val="ＭＳ Ｐゴシック"/>
      <family val="3"/>
      <charset val="128"/>
    </font>
    <font>
      <sz val="9"/>
      <name val="ＭＳ Ｐゴシック"/>
      <family val="3"/>
      <charset val="128"/>
    </font>
    <font>
      <sz val="10"/>
      <name val="ＭＳ 明朝"/>
      <family val="1"/>
      <charset val="128"/>
    </font>
    <font>
      <sz val="10"/>
      <name val="ＭＳ ゴシック"/>
      <family val="3"/>
      <charset val="128"/>
    </font>
    <font>
      <sz val="10"/>
      <color theme="1"/>
      <name val="ＭＳ Ｐゴシック"/>
      <family val="3"/>
      <charset val="128"/>
    </font>
    <font>
      <sz val="16"/>
      <name val="ＭＳ Ｐゴシック"/>
      <family val="3"/>
      <charset val="128"/>
    </font>
    <font>
      <sz val="12"/>
      <name val="ＭＳ Ｐゴシック"/>
      <family val="3"/>
      <charset val="128"/>
    </font>
    <font>
      <b/>
      <sz val="12"/>
      <color theme="1"/>
      <name val="ＭＳ 明朝"/>
      <family val="1"/>
      <charset val="128"/>
    </font>
    <font>
      <sz val="18"/>
      <color theme="1"/>
      <name val="ＭＳ 明朝"/>
      <family val="1"/>
      <charset val="128"/>
    </font>
    <font>
      <sz val="10"/>
      <color theme="1"/>
      <name val="游ゴシック"/>
      <family val="2"/>
      <charset val="128"/>
      <scheme val="minor"/>
    </font>
    <font>
      <sz val="8"/>
      <name val="ＭＳ Ｐゴシック"/>
      <family val="3"/>
      <charset val="128"/>
    </font>
    <font>
      <sz val="11"/>
      <color theme="1"/>
      <name val="游ゴシック"/>
      <family val="3"/>
      <charset val="128"/>
      <scheme val="minor"/>
    </font>
    <font>
      <sz val="11"/>
      <name val="ＭＳ 明朝"/>
      <family val="1"/>
      <charset val="128"/>
    </font>
    <font>
      <b/>
      <sz val="11"/>
      <color theme="1"/>
      <name val="ＭＳ 明朝"/>
      <family val="1"/>
      <charset val="128"/>
    </font>
    <font>
      <sz val="11"/>
      <color rgb="FF000000"/>
      <name val="ＭＳ 明朝"/>
      <family val="1"/>
      <charset val="128"/>
    </font>
    <font>
      <sz val="12"/>
      <color rgb="FF000000"/>
      <name val="ＭＳ 明朝"/>
      <family val="1"/>
      <charset val="128"/>
    </font>
    <font>
      <b/>
      <sz val="11"/>
      <color theme="1"/>
      <name val="ＭＳ Ｐゴシック"/>
      <family val="3"/>
      <charset val="128"/>
    </font>
    <font>
      <b/>
      <sz val="12"/>
      <color theme="1"/>
      <name val="ＭＳ Ｐゴシック"/>
      <family val="3"/>
      <charset val="128"/>
    </font>
    <font>
      <sz val="11"/>
      <color theme="1"/>
      <name val="ＭＳ Ｐゴシック"/>
      <family val="3"/>
      <charset val="128"/>
    </font>
    <font>
      <u/>
      <sz val="12"/>
      <color theme="1"/>
      <name val="ＭＳ 明朝"/>
      <family val="1"/>
      <charset val="128"/>
    </font>
    <font>
      <sz val="11"/>
      <name val="游ゴシック"/>
      <family val="2"/>
      <charset val="128"/>
      <scheme val="minor"/>
    </font>
    <font>
      <sz val="8"/>
      <color theme="1"/>
      <name val="ＭＳ 明朝"/>
      <family val="1"/>
      <charset val="128"/>
    </font>
    <font>
      <sz val="16"/>
      <color theme="1"/>
      <name val="游ゴシック"/>
      <family val="2"/>
      <charset val="128"/>
      <scheme val="minor"/>
    </font>
    <font>
      <sz val="16"/>
      <color theme="1"/>
      <name val="游ゴシック"/>
      <family val="3"/>
      <charset val="128"/>
      <scheme val="minor"/>
    </font>
    <font>
      <b/>
      <u/>
      <sz val="11"/>
      <color theme="1"/>
      <name val="游ゴシック"/>
      <family val="2"/>
      <charset val="128"/>
      <scheme val="minor"/>
    </font>
    <font>
      <b/>
      <u/>
      <sz val="11"/>
      <color theme="1"/>
      <name val="Segoe UI Symbol"/>
      <family val="2"/>
    </font>
    <font>
      <b/>
      <u/>
      <sz val="11"/>
      <color theme="1"/>
      <name val="游ゴシック"/>
      <family val="2"/>
      <charset val="128"/>
    </font>
    <font>
      <sz val="11"/>
      <color rgb="FFFF0000"/>
      <name val="游ゴシック"/>
      <family val="2"/>
      <charset val="128"/>
      <scheme val="minor"/>
    </font>
    <font>
      <b/>
      <sz val="11"/>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ABF8F"/>
        <bgColor indexed="64"/>
      </patternFill>
    </fill>
  </fills>
  <borders count="8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0" fontId="13"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cellStyleXfs>
  <cellXfs count="632">
    <xf numFmtId="0" fontId="0" fillId="0" borderId="0" xfId="0">
      <alignment vertical="center"/>
    </xf>
    <xf numFmtId="0" fontId="3" fillId="2" borderId="0" xfId="0" applyFont="1" applyFill="1">
      <alignment vertical="center"/>
    </xf>
    <xf numFmtId="0" fontId="3" fillId="2" borderId="4" xfId="0" applyFont="1" applyFill="1" applyBorder="1">
      <alignment vertical="center"/>
    </xf>
    <xf numFmtId="0" fontId="3" fillId="2" borderId="2" xfId="0" applyFont="1" applyFill="1" applyBorder="1">
      <alignment vertical="center"/>
    </xf>
    <xf numFmtId="0" fontId="3" fillId="2" borderId="5" xfId="0" applyFont="1" applyFill="1" applyBorder="1">
      <alignment vertical="center"/>
    </xf>
    <xf numFmtId="0" fontId="11" fillId="2" borderId="0" xfId="0" applyFont="1" applyFill="1" applyAlignment="1">
      <alignment horizontal="justify" vertical="center"/>
    </xf>
    <xf numFmtId="0" fontId="2" fillId="2" borderId="0" xfId="0" applyFont="1" applyFill="1">
      <alignment vertical="center"/>
    </xf>
    <xf numFmtId="0" fontId="10" fillId="2" borderId="0" xfId="0" applyFont="1" applyFill="1">
      <alignment vertical="center"/>
    </xf>
    <xf numFmtId="0" fontId="2" fillId="2" borderId="3" xfId="0" applyFont="1" applyFill="1" applyBorder="1">
      <alignment vertical="center"/>
    </xf>
    <xf numFmtId="0" fontId="2" fillId="2" borderId="5" xfId="0" applyFont="1" applyFill="1" applyBorder="1" applyAlignment="1">
      <alignment horizontal="center"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pplyAlignment="1">
      <alignment horizontal="centerContinuous" vertical="center"/>
    </xf>
    <xf numFmtId="0" fontId="5" fillId="2" borderId="0" xfId="0" applyFont="1" applyFill="1" applyAlignment="1">
      <alignment horizontal="centerContinuous" vertical="center"/>
    </xf>
    <xf numFmtId="0" fontId="8" fillId="2" borderId="0" xfId="0" applyFont="1" applyFill="1">
      <alignment vertical="center"/>
    </xf>
    <xf numFmtId="0" fontId="0" fillId="0" borderId="0" xfId="0" applyAlignment="1">
      <alignment vertical="center" shrinkToFit="1"/>
    </xf>
    <xf numFmtId="0" fontId="0" fillId="0" borderId="0" xfId="0" quotePrefix="1">
      <alignment vertical="center"/>
    </xf>
    <xf numFmtId="0" fontId="0" fillId="3" borderId="0" xfId="0" applyFill="1">
      <alignment vertical="center"/>
    </xf>
    <xf numFmtId="0" fontId="2" fillId="2" borderId="3" xfId="0" applyFont="1" applyFill="1" applyBorder="1" applyAlignment="1">
      <alignment horizontal="center" vertical="center"/>
    </xf>
    <xf numFmtId="0" fontId="15" fillId="2" borderId="0" xfId="0" quotePrefix="1" applyFont="1" applyFill="1">
      <alignment vertical="center"/>
    </xf>
    <xf numFmtId="0" fontId="15" fillId="2" borderId="0" xfId="0" applyFont="1" applyFill="1">
      <alignment vertical="center"/>
    </xf>
    <xf numFmtId="38" fontId="21" fillId="0" borderId="11" xfId="3" applyFont="1" applyBorder="1" applyAlignment="1">
      <alignment vertical="center"/>
    </xf>
    <xf numFmtId="38" fontId="21" fillId="0" borderId="41" xfId="3" applyFont="1" applyBorder="1" applyAlignment="1">
      <alignment vertical="center"/>
    </xf>
    <xf numFmtId="38" fontId="22" fillId="0" borderId="40" xfId="3" applyFont="1" applyBorder="1" applyAlignment="1">
      <alignment horizontal="right" vertical="center"/>
    </xf>
    <xf numFmtId="38" fontId="22" fillId="4" borderId="40" xfId="3" applyFont="1" applyFill="1" applyBorder="1" applyAlignment="1">
      <alignment horizontal="right" vertical="center"/>
    </xf>
    <xf numFmtId="38" fontId="21" fillId="0" borderId="40" xfId="3" applyFont="1" applyBorder="1" applyAlignment="1">
      <alignment vertical="center"/>
    </xf>
    <xf numFmtId="38" fontId="22" fillId="0" borderId="40" xfId="3" applyFont="1" applyBorder="1" applyAlignment="1">
      <alignment vertical="center"/>
    </xf>
    <xf numFmtId="38" fontId="21" fillId="0" borderId="0" xfId="3" applyFont="1" applyBorder="1" applyAlignment="1">
      <alignment vertical="center"/>
    </xf>
    <xf numFmtId="38" fontId="22" fillId="0" borderId="0" xfId="3" applyFont="1" applyBorder="1" applyAlignment="1">
      <alignment vertical="center"/>
    </xf>
    <xf numFmtId="38" fontId="22" fillId="0" borderId="0" xfId="3" applyFont="1" applyBorder="1" applyAlignment="1">
      <alignment horizontal="right" vertical="center"/>
    </xf>
    <xf numFmtId="38" fontId="22" fillId="0" borderId="38" xfId="3" applyFont="1" applyBorder="1" applyAlignment="1">
      <alignment horizontal="right" vertical="center"/>
    </xf>
    <xf numFmtId="0" fontId="19" fillId="0" borderId="0" xfId="2" applyFont="1">
      <alignment vertical="center"/>
    </xf>
    <xf numFmtId="0" fontId="23" fillId="4" borderId="23" xfId="2" applyFont="1" applyFill="1" applyBorder="1" applyAlignment="1">
      <alignment horizontal="center" vertical="center"/>
    </xf>
    <xf numFmtId="0" fontId="19" fillId="0" borderId="0" xfId="2" applyFont="1" applyAlignment="1">
      <alignment horizontal="right"/>
    </xf>
    <xf numFmtId="0" fontId="19" fillId="0" borderId="28" xfId="2" applyFont="1" applyBorder="1">
      <alignment vertical="center"/>
    </xf>
    <xf numFmtId="0" fontId="19" fillId="0" borderId="31" xfId="2" applyFont="1" applyBorder="1" applyAlignment="1">
      <alignment vertical="top"/>
    </xf>
    <xf numFmtId="0" fontId="19" fillId="0" borderId="35" xfId="2" applyFont="1" applyBorder="1">
      <alignment vertical="center"/>
    </xf>
    <xf numFmtId="0" fontId="19" fillId="4" borderId="3" xfId="2" applyFont="1" applyFill="1" applyBorder="1" applyAlignment="1">
      <alignment horizontal="center" vertical="center"/>
    </xf>
    <xf numFmtId="0" fontId="19" fillId="4" borderId="3" xfId="2" applyFont="1" applyFill="1" applyBorder="1" applyAlignment="1">
      <alignment horizontal="center" vertical="center" wrapText="1"/>
    </xf>
    <xf numFmtId="0" fontId="21" fillId="0" borderId="9" xfId="2" applyFont="1" applyBorder="1" applyAlignment="1">
      <alignment vertical="center" shrinkToFit="1"/>
    </xf>
    <xf numFmtId="38" fontId="21" fillId="0" borderId="9" xfId="3" applyFont="1" applyBorder="1" applyAlignment="1">
      <alignment horizontal="right" vertical="center" shrinkToFit="1"/>
    </xf>
    <xf numFmtId="38" fontId="21" fillId="0" borderId="8" xfId="3" applyFont="1" applyBorder="1" applyAlignment="1">
      <alignment horizontal="right" vertical="center" shrinkToFit="1"/>
    </xf>
    <xf numFmtId="0" fontId="19" fillId="0" borderId="31" xfId="2" applyFont="1" applyBorder="1">
      <alignment vertical="center"/>
    </xf>
    <xf numFmtId="49" fontId="19" fillId="0" borderId="31" xfId="2" applyNumberFormat="1" applyFont="1" applyBorder="1">
      <alignment vertical="center"/>
    </xf>
    <xf numFmtId="49" fontId="19" fillId="0" borderId="0" xfId="2" applyNumberFormat="1" applyFont="1">
      <alignment vertical="center"/>
    </xf>
    <xf numFmtId="0" fontId="19" fillId="0" borderId="40" xfId="2" applyFont="1" applyBorder="1">
      <alignment vertical="center"/>
    </xf>
    <xf numFmtId="0" fontId="19" fillId="4" borderId="1" xfId="2" applyFont="1" applyFill="1" applyBorder="1">
      <alignment vertical="center"/>
    </xf>
    <xf numFmtId="0" fontId="19" fillId="4" borderId="1" xfId="2" applyFont="1" applyFill="1" applyBorder="1" applyAlignment="1">
      <alignment vertical="center" shrinkToFit="1"/>
    </xf>
    <xf numFmtId="38" fontId="19" fillId="4" borderId="1" xfId="3" applyFont="1" applyFill="1" applyBorder="1" applyAlignment="1">
      <alignment horizontal="right" vertical="center" shrinkToFit="1"/>
    </xf>
    <xf numFmtId="38" fontId="19" fillId="4" borderId="12" xfId="3" applyFont="1" applyFill="1" applyBorder="1" applyAlignment="1">
      <alignment horizontal="right" vertical="center" shrinkToFit="1"/>
    </xf>
    <xf numFmtId="38" fontId="19" fillId="0" borderId="0" xfId="3" applyFont="1" applyBorder="1" applyAlignment="1">
      <alignment horizontal="right" vertical="center" shrinkToFit="1"/>
    </xf>
    <xf numFmtId="38" fontId="19" fillId="0" borderId="11" xfId="3" applyFont="1" applyBorder="1" applyAlignment="1">
      <alignment horizontal="right" vertical="center" shrinkToFit="1"/>
    </xf>
    <xf numFmtId="0" fontId="21" fillId="0" borderId="43" xfId="2" applyFont="1" applyBorder="1">
      <alignment vertical="center"/>
    </xf>
    <xf numFmtId="0" fontId="21" fillId="0" borderId="44" xfId="2" applyFont="1" applyBorder="1">
      <alignment vertical="center"/>
    </xf>
    <xf numFmtId="0" fontId="19" fillId="0" borderId="13" xfId="2" applyFont="1" applyBorder="1" applyAlignment="1">
      <alignment horizontal="left" vertical="center" shrinkToFit="1"/>
    </xf>
    <xf numFmtId="0" fontId="19" fillId="0" borderId="29" xfId="2" applyFont="1" applyBorder="1" applyAlignment="1">
      <alignment horizontal="left" vertical="center" shrinkToFit="1"/>
    </xf>
    <xf numFmtId="0" fontId="19" fillId="0" borderId="33" xfId="2" applyFont="1" applyBorder="1" applyAlignment="1">
      <alignment horizontal="left" vertical="center" shrinkToFit="1"/>
    </xf>
    <xf numFmtId="0" fontId="19" fillId="0" borderId="30" xfId="2" applyFont="1" applyBorder="1">
      <alignment vertical="center"/>
    </xf>
    <xf numFmtId="3" fontId="0" fillId="0" borderId="0" xfId="0" applyNumberFormat="1">
      <alignment vertical="center"/>
    </xf>
    <xf numFmtId="0" fontId="16" fillId="0" borderId="0" xfId="2">
      <alignment vertical="center"/>
    </xf>
    <xf numFmtId="0" fontId="16" fillId="0" borderId="0" xfId="2" applyAlignment="1">
      <alignment horizontal="center" vertical="center"/>
    </xf>
    <xf numFmtId="0" fontId="24" fillId="0" borderId="0" xfId="2" applyFont="1" applyAlignment="1">
      <alignment horizontal="left" vertical="center"/>
    </xf>
    <xf numFmtId="0" fontId="25" fillId="0" borderId="45" xfId="2" applyFont="1" applyBorder="1" applyAlignment="1">
      <alignment horizontal="center" vertical="center"/>
    </xf>
    <xf numFmtId="0" fontId="16" fillId="0" borderId="0" xfId="2" applyAlignment="1">
      <alignment horizontal="right" vertical="center"/>
    </xf>
    <xf numFmtId="0" fontId="20" fillId="0" borderId="49" xfId="2" applyFont="1" applyBorder="1" applyAlignment="1">
      <alignment horizontal="center" vertical="center" wrapText="1"/>
    </xf>
    <xf numFmtId="38" fontId="19" fillId="0" borderId="29" xfId="3" applyFont="1" applyBorder="1" applyAlignment="1">
      <alignment vertical="center"/>
    </xf>
    <xf numFmtId="38" fontId="19" fillId="0" borderId="39" xfId="3" applyFont="1" applyBorder="1" applyAlignment="1">
      <alignment horizontal="right" vertical="center"/>
    </xf>
    <xf numFmtId="38" fontId="19" fillId="0" borderId="40" xfId="3" applyFont="1" applyFill="1" applyBorder="1" applyAlignment="1">
      <alignment horizontal="right" vertical="center"/>
    </xf>
    <xf numFmtId="0" fontId="16" fillId="0" borderId="43" xfId="2" applyBorder="1">
      <alignment vertical="center"/>
    </xf>
    <xf numFmtId="0" fontId="16" fillId="0" borderId="44" xfId="2" applyBorder="1">
      <alignment vertical="center"/>
    </xf>
    <xf numFmtId="38" fontId="23" fillId="0" borderId="7" xfId="3" applyFont="1" applyBorder="1" applyAlignment="1">
      <alignment horizontal="right" vertical="center" shrinkToFit="1"/>
    </xf>
    <xf numFmtId="0" fontId="7" fillId="2" borderId="0" xfId="0" applyFont="1" applyFill="1">
      <alignment vertical="center"/>
    </xf>
    <xf numFmtId="0" fontId="26" fillId="2" borderId="0" xfId="0" applyFont="1" applyFill="1" applyAlignment="1">
      <alignment horizontal="justify" vertical="center"/>
    </xf>
    <xf numFmtId="0" fontId="7" fillId="2" borderId="0" xfId="0" applyFont="1" applyFill="1" applyAlignment="1">
      <alignment horizontal="right" vertical="center"/>
    </xf>
    <xf numFmtId="0" fontId="7" fillId="2" borderId="13" xfId="0" applyFont="1" applyFill="1" applyBorder="1">
      <alignment vertical="center"/>
    </xf>
    <xf numFmtId="0" fontId="7" fillId="2" borderId="15" xfId="0" applyFont="1" applyFill="1" applyBorder="1">
      <alignment vertical="center"/>
    </xf>
    <xf numFmtId="0" fontId="7" fillId="2" borderId="10" xfId="0" applyFont="1" applyFill="1" applyBorder="1">
      <alignment vertical="center"/>
    </xf>
    <xf numFmtId="0" fontId="7" fillId="2" borderId="9" xfId="0" applyFont="1" applyFill="1" applyBorder="1">
      <alignment vertical="center"/>
    </xf>
    <xf numFmtId="0" fontId="7" fillId="2" borderId="11" xfId="0" applyFont="1" applyFill="1" applyBorder="1">
      <alignment vertical="center"/>
    </xf>
    <xf numFmtId="0" fontId="7" fillId="2" borderId="14" xfId="0" applyFont="1" applyFill="1" applyBorder="1">
      <alignment vertical="center"/>
    </xf>
    <xf numFmtId="0" fontId="7" fillId="2" borderId="1" xfId="0" applyFont="1" applyFill="1" applyBorder="1">
      <alignment vertical="center"/>
    </xf>
    <xf numFmtId="0" fontId="27" fillId="2" borderId="0" xfId="0" applyFont="1" applyFill="1" applyAlignment="1">
      <alignment horizontal="centerContinuous" vertical="center"/>
    </xf>
    <xf numFmtId="0" fontId="7" fillId="2" borderId="12" xfId="0" applyFont="1" applyFill="1" applyBorder="1" applyAlignment="1">
      <alignment horizontal="center" vertical="center"/>
    </xf>
    <xf numFmtId="0" fontId="19" fillId="0" borderId="27" xfId="2" applyFont="1" applyBorder="1" applyAlignment="1">
      <alignment horizontal="center" vertical="center"/>
    </xf>
    <xf numFmtId="0" fontId="19" fillId="0" borderId="46" xfId="2" applyFont="1" applyBorder="1" applyAlignment="1">
      <alignment horizontal="center" vertical="center"/>
    </xf>
    <xf numFmtId="0" fontId="19" fillId="0" borderId="9" xfId="2" applyFont="1" applyBorder="1" applyAlignment="1">
      <alignment horizontal="left" vertical="center" shrinkToFit="1"/>
    </xf>
    <xf numFmtId="0" fontId="19" fillId="0" borderId="47" xfId="2" applyFont="1" applyBorder="1" applyAlignment="1">
      <alignment horizontal="center" vertical="center"/>
    </xf>
    <xf numFmtId="0" fontId="19" fillId="0" borderId="36" xfId="2" applyFont="1" applyBorder="1" applyAlignment="1">
      <alignment horizontal="left" vertical="center" shrinkToFit="1"/>
    </xf>
    <xf numFmtId="0" fontId="19" fillId="0" borderId="3" xfId="2" applyFont="1" applyBorder="1" applyAlignment="1">
      <alignment horizontal="center" vertical="center"/>
    </xf>
    <xf numFmtId="0" fontId="19" fillId="0" borderId="9" xfId="2" applyFont="1" applyBorder="1" applyAlignment="1">
      <alignment vertical="center" shrinkToFit="1"/>
    </xf>
    <xf numFmtId="179" fontId="19" fillId="0" borderId="9" xfId="2" applyNumberFormat="1" applyFont="1" applyBorder="1" applyAlignment="1">
      <alignment vertical="center" shrinkToFit="1"/>
    </xf>
    <xf numFmtId="0" fontId="19" fillId="0" borderId="33" xfId="2" applyFont="1" applyBorder="1" applyAlignment="1">
      <alignment vertical="center" shrinkToFit="1"/>
    </xf>
    <xf numFmtId="0" fontId="19" fillId="0" borderId="29" xfId="2" applyFont="1" applyBorder="1" applyAlignment="1">
      <alignment vertical="center" shrinkToFit="1"/>
    </xf>
    <xf numFmtId="38" fontId="23" fillId="0" borderId="38" xfId="3" applyFont="1" applyBorder="1" applyAlignment="1">
      <alignment vertical="center" shrinkToFit="1"/>
    </xf>
    <xf numFmtId="38" fontId="23" fillId="0" borderId="8" xfId="3" applyFont="1" applyBorder="1" applyAlignment="1">
      <alignment vertical="center" shrinkToFit="1"/>
    </xf>
    <xf numFmtId="38" fontId="19" fillId="0" borderId="39" xfId="3" applyFont="1" applyBorder="1" applyAlignment="1">
      <alignment vertical="center"/>
    </xf>
    <xf numFmtId="0" fontId="19" fillId="0" borderId="1" xfId="2" applyFont="1" applyBorder="1">
      <alignment vertical="center"/>
    </xf>
    <xf numFmtId="0" fontId="19" fillId="0" borderId="8" xfId="2" applyFont="1" applyBorder="1" applyAlignment="1">
      <alignment vertical="center" shrinkToFit="1"/>
    </xf>
    <xf numFmtId="0" fontId="19" fillId="0" borderId="7" xfId="2" applyFont="1" applyBorder="1" applyAlignment="1">
      <alignment vertical="center" shrinkToFit="1"/>
    </xf>
    <xf numFmtId="38" fontId="19" fillId="0" borderId="33" xfId="3" applyFont="1" applyBorder="1" applyAlignment="1">
      <alignment horizontal="right" vertical="center" shrinkToFit="1"/>
    </xf>
    <xf numFmtId="38" fontId="19" fillId="0" borderId="9" xfId="3" applyFont="1" applyBorder="1" applyAlignment="1">
      <alignment horizontal="right" vertical="center" shrinkToFit="1"/>
    </xf>
    <xf numFmtId="38" fontId="19" fillId="0" borderId="29" xfId="3" applyFont="1" applyBorder="1" applyAlignment="1">
      <alignment horizontal="right" vertical="center" shrinkToFit="1"/>
    </xf>
    <xf numFmtId="180" fontId="19" fillId="0" borderId="9" xfId="3" applyNumberFormat="1" applyFont="1" applyBorder="1" applyAlignment="1">
      <alignment horizontal="right" vertical="center" shrinkToFit="1"/>
    </xf>
    <xf numFmtId="38" fontId="19" fillId="0" borderId="29" xfId="3" applyFont="1" applyBorder="1" applyAlignment="1">
      <alignment horizontal="right" vertical="center"/>
    </xf>
    <xf numFmtId="38" fontId="19" fillId="0" borderId="42" xfId="3" applyFont="1" applyBorder="1" applyAlignment="1">
      <alignment vertical="center"/>
    </xf>
    <xf numFmtId="38" fontId="19" fillId="0" borderId="40" xfId="3" applyFont="1" applyBorder="1" applyAlignment="1">
      <alignment horizontal="right" vertical="center"/>
    </xf>
    <xf numFmtId="38" fontId="19" fillId="0" borderId="38" xfId="3" applyFont="1" applyBorder="1" applyAlignment="1">
      <alignment horizontal="right" vertical="center" shrinkToFit="1"/>
    </xf>
    <xf numFmtId="38" fontId="19" fillId="0" borderId="8" xfId="3" applyFont="1" applyBorder="1" applyAlignment="1">
      <alignment horizontal="right" vertical="center" shrinkToFit="1"/>
    </xf>
    <xf numFmtId="38" fontId="19" fillId="0" borderId="39" xfId="3" applyFont="1" applyBorder="1" applyAlignment="1">
      <alignment horizontal="right" vertical="center" shrinkToFit="1"/>
    </xf>
    <xf numFmtId="0" fontId="19" fillId="0" borderId="56" xfId="2" applyFont="1" applyBorder="1" applyAlignment="1">
      <alignment horizontal="center" vertical="center" wrapText="1"/>
    </xf>
    <xf numFmtId="0" fontId="19" fillId="0" borderId="57" xfId="2" applyFont="1" applyBorder="1" applyAlignment="1">
      <alignment horizontal="center" vertical="center"/>
    </xf>
    <xf numFmtId="0" fontId="19" fillId="0" borderId="58" xfId="2" applyFont="1" applyBorder="1" applyAlignment="1">
      <alignment horizontal="center" vertical="center"/>
    </xf>
    <xf numFmtId="0" fontId="19" fillId="0" borderId="0" xfId="2" applyFont="1" applyAlignment="1">
      <alignment horizontal="left" vertical="center" shrinkToFit="1"/>
    </xf>
    <xf numFmtId="179" fontId="19" fillId="0" borderId="0" xfId="2" applyNumberFormat="1" applyFont="1" applyAlignment="1">
      <alignment vertical="center" shrinkToFit="1"/>
    </xf>
    <xf numFmtId="179" fontId="19" fillId="0" borderId="13" xfId="2" applyNumberFormat="1" applyFont="1" applyBorder="1" applyAlignment="1">
      <alignment vertical="center" shrinkToFit="1"/>
    </xf>
    <xf numFmtId="0" fontId="25" fillId="0" borderId="0" xfId="2" applyFont="1" applyAlignment="1">
      <alignment horizontal="center" vertical="center"/>
    </xf>
    <xf numFmtId="0" fontId="25" fillId="0" borderId="57" xfId="2" applyFont="1" applyBorder="1" applyAlignment="1">
      <alignment horizontal="center" vertical="center"/>
    </xf>
    <xf numFmtId="0" fontId="0" fillId="0" borderId="0" xfId="0" applyAlignment="1">
      <alignment vertical="center" wrapText="1" shrinkToFit="1"/>
    </xf>
    <xf numFmtId="0" fontId="0" fillId="0" borderId="0" xfId="0" applyAlignment="1">
      <alignment vertical="center" wrapText="1"/>
    </xf>
    <xf numFmtId="38" fontId="28" fillId="0" borderId="8" xfId="3" applyFont="1" applyBorder="1" applyAlignment="1">
      <alignment horizontal="right" vertical="center" shrinkToFit="1"/>
    </xf>
    <xf numFmtId="0" fontId="0" fillId="5" borderId="0" xfId="0" applyFill="1" applyAlignment="1">
      <alignment vertical="center" shrinkToFit="1"/>
    </xf>
    <xf numFmtId="0" fontId="0" fillId="5" borderId="0" xfId="0" applyFill="1">
      <alignment vertical="center"/>
    </xf>
    <xf numFmtId="179" fontId="0" fillId="0" borderId="44" xfId="3" applyNumberFormat="1" applyFont="1" applyBorder="1">
      <alignment vertical="center"/>
    </xf>
    <xf numFmtId="3" fontId="23" fillId="0" borderId="38" xfId="0" applyNumberFormat="1" applyFont="1" applyBorder="1" applyAlignment="1">
      <alignment horizontal="right" vertical="center"/>
    </xf>
    <xf numFmtId="3" fontId="23" fillId="0" borderId="8" xfId="0" applyNumberFormat="1" applyFont="1" applyBorder="1" applyAlignment="1">
      <alignment horizontal="right" vertical="center"/>
    </xf>
    <xf numFmtId="3" fontId="23" fillId="0" borderId="7" xfId="0" applyNumberFormat="1" applyFont="1" applyBorder="1" applyAlignment="1">
      <alignment horizontal="right" vertical="center"/>
    </xf>
    <xf numFmtId="3" fontId="23" fillId="0" borderId="39" xfId="0" applyNumberFormat="1" applyFont="1" applyBorder="1">
      <alignment vertical="center"/>
    </xf>
    <xf numFmtId="3" fontId="19" fillId="0" borderId="9" xfId="2" applyNumberFormat="1" applyFont="1" applyBorder="1" applyAlignment="1">
      <alignment vertical="center" shrinkToFit="1"/>
    </xf>
    <xf numFmtId="3" fontId="23" fillId="0" borderId="39" xfId="0" applyNumberFormat="1" applyFont="1" applyBorder="1" applyAlignment="1">
      <alignment horizontal="right" vertical="center"/>
    </xf>
    <xf numFmtId="3" fontId="23" fillId="0" borderId="3" xfId="3" applyNumberFormat="1" applyFont="1" applyFill="1" applyBorder="1" applyAlignment="1">
      <alignment horizontal="center" vertical="center" shrinkToFit="1"/>
    </xf>
    <xf numFmtId="3" fontId="23" fillId="0" borderId="8" xfId="3" applyNumberFormat="1" applyFont="1" applyBorder="1" applyAlignment="1">
      <alignment horizontal="right" vertical="center" shrinkToFit="1"/>
    </xf>
    <xf numFmtId="3" fontId="23" fillId="0" borderId="38" xfId="3" applyNumberFormat="1" applyFont="1" applyBorder="1" applyAlignment="1">
      <alignment horizontal="right" vertical="center" shrinkToFit="1"/>
    </xf>
    <xf numFmtId="3" fontId="23" fillId="0" borderId="39" xfId="3" applyNumberFormat="1" applyFont="1" applyBorder="1" applyAlignment="1">
      <alignment horizontal="right" vertical="center" shrinkToFit="1"/>
    </xf>
    <xf numFmtId="3" fontId="19" fillId="0" borderId="39" xfId="3" applyNumberFormat="1" applyFont="1" applyBorder="1" applyAlignment="1">
      <alignment horizontal="right" vertical="center" shrinkToFit="1"/>
    </xf>
    <xf numFmtId="3" fontId="23" fillId="0" borderId="52" xfId="3" applyNumberFormat="1" applyFont="1" applyBorder="1" applyAlignment="1">
      <alignment horizontal="right" vertical="center" shrinkToFit="1"/>
    </xf>
    <xf numFmtId="3" fontId="19" fillId="0" borderId="8" xfId="3" applyNumberFormat="1" applyFont="1" applyBorder="1" applyAlignment="1">
      <alignment horizontal="right" vertical="center" shrinkToFit="1"/>
    </xf>
    <xf numFmtId="3" fontId="23" fillId="0" borderId="7" xfId="3" applyNumberFormat="1" applyFont="1" applyBorder="1" applyAlignment="1">
      <alignment horizontal="right" vertical="center" shrinkToFit="1"/>
    </xf>
    <xf numFmtId="3" fontId="23" fillId="0" borderId="9" xfId="3" applyNumberFormat="1" applyFont="1" applyBorder="1" applyAlignment="1">
      <alignment horizontal="right" vertical="center"/>
    </xf>
    <xf numFmtId="3" fontId="23" fillId="0" borderId="14" xfId="3" applyNumberFormat="1" applyFont="1" applyBorder="1" applyAlignment="1">
      <alignment horizontal="right" vertical="center"/>
    </xf>
    <xf numFmtId="3" fontId="19" fillId="0" borderId="33" xfId="2" applyNumberFormat="1" applyFont="1" applyBorder="1" applyAlignment="1">
      <alignment horizontal="right" vertical="center" shrinkToFit="1"/>
    </xf>
    <xf numFmtId="3" fontId="19" fillId="0" borderId="29" xfId="2" applyNumberFormat="1" applyFont="1" applyBorder="1" applyAlignment="1">
      <alignment horizontal="left" vertical="center" shrinkToFit="1"/>
    </xf>
    <xf numFmtId="3" fontId="19" fillId="0" borderId="9" xfId="2" applyNumberFormat="1" applyFont="1" applyBorder="1" applyAlignment="1">
      <alignment horizontal="right" vertical="center" shrinkToFit="1"/>
    </xf>
    <xf numFmtId="3" fontId="19" fillId="0" borderId="36" xfId="2" applyNumberFormat="1" applyFont="1" applyBorder="1" applyAlignment="1">
      <alignment horizontal="right" vertical="center" shrinkToFit="1"/>
    </xf>
    <xf numFmtId="3" fontId="19" fillId="0" borderId="3" xfId="2" applyNumberFormat="1" applyFont="1" applyBorder="1" applyAlignment="1">
      <alignment horizontal="center" vertical="center"/>
    </xf>
    <xf numFmtId="3" fontId="19" fillId="0" borderId="33" xfId="2" applyNumberFormat="1" applyFont="1" applyBorder="1" applyAlignment="1">
      <alignment vertical="center" shrinkToFit="1"/>
    </xf>
    <xf numFmtId="3" fontId="19" fillId="0" borderId="29" xfId="2" applyNumberFormat="1" applyFont="1" applyBorder="1" applyAlignment="1">
      <alignment vertical="center" shrinkToFit="1"/>
    </xf>
    <xf numFmtId="3" fontId="19" fillId="0" borderId="29" xfId="3" applyNumberFormat="1" applyFont="1" applyBorder="1" applyAlignment="1">
      <alignment vertical="center"/>
    </xf>
    <xf numFmtId="3" fontId="19" fillId="0" borderId="40" xfId="3" applyNumberFormat="1" applyFont="1" applyFill="1" applyBorder="1" applyAlignment="1">
      <alignment horizontal="right" vertical="center"/>
    </xf>
    <xf numFmtId="3" fontId="19" fillId="0" borderId="39" xfId="3" applyNumberFormat="1" applyFont="1" applyBorder="1" applyAlignment="1">
      <alignment horizontal="right" vertical="center"/>
    </xf>
    <xf numFmtId="3" fontId="22" fillId="0" borderId="8" xfId="3" applyNumberFormat="1" applyFont="1" applyBorder="1" applyAlignment="1">
      <alignment horizontal="right" vertical="center"/>
    </xf>
    <xf numFmtId="3" fontId="19" fillId="0" borderId="14" xfId="2" applyNumberFormat="1" applyFont="1" applyBorder="1" applyAlignment="1">
      <alignment vertical="center" shrinkToFit="1"/>
    </xf>
    <xf numFmtId="0" fontId="19" fillId="0" borderId="50" xfId="2" applyFont="1" applyBorder="1" applyAlignment="1">
      <alignment horizontal="center" vertical="center" wrapText="1"/>
    </xf>
    <xf numFmtId="0" fontId="19" fillId="0" borderId="47" xfId="2" applyFont="1" applyBorder="1" applyAlignment="1">
      <alignment horizontal="center" vertical="center" wrapText="1"/>
    </xf>
    <xf numFmtId="0" fontId="19" fillId="0" borderId="51" xfId="2" applyFont="1" applyBorder="1" applyAlignment="1">
      <alignment horizontal="center" vertical="center" wrapText="1"/>
    </xf>
    <xf numFmtId="0" fontId="19" fillId="0" borderId="53" xfId="2" applyFont="1" applyBorder="1" applyAlignment="1">
      <alignment horizontal="center" vertical="center" wrapText="1"/>
    </xf>
    <xf numFmtId="0" fontId="19" fillId="3" borderId="47" xfId="2" applyFont="1" applyFill="1" applyBorder="1" applyAlignment="1">
      <alignment horizontal="center" vertical="center" wrapText="1"/>
    </xf>
    <xf numFmtId="0" fontId="19" fillId="0" borderId="54" xfId="2" applyFont="1" applyBorder="1" applyAlignment="1">
      <alignment horizontal="center" vertical="center" wrapText="1"/>
    </xf>
    <xf numFmtId="0" fontId="19" fillId="0" borderId="48" xfId="2" applyFont="1" applyBorder="1" applyAlignment="1">
      <alignment horizontal="center" vertical="center" wrapText="1"/>
    </xf>
    <xf numFmtId="0" fontId="16" fillId="0" borderId="55" xfId="2" applyBorder="1" applyAlignment="1">
      <alignment horizontal="center" vertical="center" wrapText="1"/>
    </xf>
    <xf numFmtId="0" fontId="19" fillId="0" borderId="0" xfId="2" applyFont="1" applyAlignment="1">
      <alignment vertical="center" shrinkToFit="1"/>
    </xf>
    <xf numFmtId="176" fontId="5" fillId="2" borderId="0" xfId="0" applyNumberFormat="1" applyFont="1" applyFill="1" applyAlignment="1">
      <alignment horizontal="right" vertical="center"/>
    </xf>
    <xf numFmtId="0" fontId="24" fillId="0" borderId="0" xfId="2" applyFont="1">
      <alignment vertical="center"/>
    </xf>
    <xf numFmtId="0" fontId="16" fillId="6" borderId="62" xfId="2" applyFill="1" applyBorder="1" applyAlignment="1">
      <alignment horizontal="center" vertical="center"/>
    </xf>
    <xf numFmtId="0" fontId="19" fillId="6" borderId="3" xfId="2" applyFont="1" applyFill="1" applyBorder="1" applyAlignment="1">
      <alignment horizontal="center" vertical="center"/>
    </xf>
    <xf numFmtId="38" fontId="19" fillId="6" borderId="49" xfId="3" applyFont="1" applyFill="1" applyBorder="1" applyAlignment="1">
      <alignment horizontal="center" vertical="center"/>
    </xf>
    <xf numFmtId="0" fontId="19" fillId="6" borderId="64" xfId="2" applyFont="1" applyFill="1" applyBorder="1" applyAlignment="1">
      <alignment horizontal="center" vertical="center"/>
    </xf>
    <xf numFmtId="0" fontId="16" fillId="0" borderId="28" xfId="2" applyBorder="1">
      <alignment vertical="center"/>
    </xf>
    <xf numFmtId="0" fontId="16" fillId="0" borderId="28" xfId="2" applyBorder="1" applyAlignment="1">
      <alignment vertical="center" shrinkToFit="1"/>
    </xf>
    <xf numFmtId="38" fontId="0" fillId="0" borderId="28" xfId="3" applyFont="1" applyBorder="1" applyAlignment="1">
      <alignment horizontal="right" vertical="center" shrinkToFit="1"/>
    </xf>
    <xf numFmtId="38" fontId="0" fillId="0" borderId="8" xfId="3" applyFont="1" applyBorder="1" applyAlignment="1">
      <alignment horizontal="right" vertical="center" shrinkToFit="1"/>
    </xf>
    <xf numFmtId="38" fontId="0" fillId="0" borderId="47" xfId="3" applyFont="1" applyBorder="1" applyAlignment="1">
      <alignment horizontal="right" vertical="center"/>
    </xf>
    <xf numFmtId="0" fontId="16" fillId="0" borderId="65" xfId="2" applyBorder="1">
      <alignment vertical="center"/>
    </xf>
    <xf numFmtId="0" fontId="16" fillId="0" borderId="57" xfId="2" applyBorder="1">
      <alignment vertical="center"/>
    </xf>
    <xf numFmtId="0" fontId="16" fillId="0" borderId="66" xfId="2" applyBorder="1" applyAlignment="1">
      <alignment vertical="center" shrinkToFit="1"/>
    </xf>
    <xf numFmtId="38" fontId="16" fillId="0" borderId="65" xfId="2" applyNumberFormat="1" applyBorder="1">
      <alignment vertical="center"/>
    </xf>
    <xf numFmtId="0" fontId="16" fillId="0" borderId="31" xfId="2" applyBorder="1">
      <alignment vertical="center"/>
    </xf>
    <xf numFmtId="0" fontId="31" fillId="0" borderId="67" xfId="2" applyFont="1" applyBorder="1" applyAlignment="1">
      <alignment vertical="center" shrinkToFit="1"/>
    </xf>
    <xf numFmtId="0" fontId="31" fillId="0" borderId="28" xfId="2" applyFont="1" applyBorder="1" applyAlignment="1">
      <alignment vertical="center" shrinkToFit="1"/>
    </xf>
    <xf numFmtId="38" fontId="31" fillId="0" borderId="28" xfId="3" applyFont="1" applyBorder="1" applyAlignment="1">
      <alignment horizontal="right" vertical="center" shrinkToFit="1"/>
    </xf>
    <xf numFmtId="38" fontId="31" fillId="0" borderId="8" xfId="3" applyFont="1" applyBorder="1" applyAlignment="1">
      <alignment horizontal="right" vertical="center" shrinkToFit="1"/>
    </xf>
    <xf numFmtId="38" fontId="31" fillId="0" borderId="47" xfId="3" applyFont="1" applyBorder="1" applyAlignment="1">
      <alignment horizontal="right" vertical="center"/>
    </xf>
    <xf numFmtId="38" fontId="31" fillId="0" borderId="68" xfId="3" applyFont="1" applyBorder="1" applyAlignment="1">
      <alignment horizontal="right" vertical="center" shrinkToFit="1"/>
    </xf>
    <xf numFmtId="38" fontId="31" fillId="0" borderId="38" xfId="3" applyFont="1" applyBorder="1" applyAlignment="1">
      <alignment horizontal="right" vertical="center" shrinkToFit="1"/>
    </xf>
    <xf numFmtId="38" fontId="31" fillId="0" borderId="50" xfId="3" applyFont="1" applyBorder="1" applyAlignment="1">
      <alignment horizontal="right" vertical="center"/>
    </xf>
    <xf numFmtId="0" fontId="31" fillId="0" borderId="65" xfId="2" applyFont="1" applyBorder="1" applyAlignment="1">
      <alignment vertical="center" shrinkToFit="1"/>
    </xf>
    <xf numFmtId="0" fontId="31" fillId="0" borderId="72" xfId="2" applyFont="1" applyBorder="1" applyAlignment="1">
      <alignment vertical="center" shrinkToFit="1"/>
    </xf>
    <xf numFmtId="38" fontId="31" fillId="0" borderId="51" xfId="3" applyFont="1" applyBorder="1" applyAlignment="1">
      <alignment horizontal="right" vertical="center"/>
    </xf>
    <xf numFmtId="0" fontId="31" fillId="0" borderId="68" xfId="2" applyFont="1" applyBorder="1" applyAlignment="1">
      <alignment vertical="center" shrinkToFit="1"/>
    </xf>
    <xf numFmtId="38" fontId="31" fillId="0" borderId="31" xfId="3" applyFont="1" applyBorder="1" applyAlignment="1">
      <alignment horizontal="right" vertical="center" shrinkToFit="1"/>
    </xf>
    <xf numFmtId="38" fontId="31" fillId="0" borderId="50" xfId="3" applyFont="1" applyBorder="1" applyAlignment="1">
      <alignment horizontal="right" vertical="center" shrinkToFit="1"/>
    </xf>
    <xf numFmtId="38" fontId="31" fillId="0" borderId="0" xfId="3" applyFont="1" applyBorder="1" applyAlignment="1">
      <alignment horizontal="right" vertical="center" shrinkToFit="1"/>
    </xf>
    <xf numFmtId="38" fontId="31" fillId="0" borderId="47" xfId="3" applyFont="1" applyBorder="1" applyAlignment="1">
      <alignment horizontal="right" vertical="center" shrinkToFit="1"/>
    </xf>
    <xf numFmtId="0" fontId="31" fillId="0" borderId="66" xfId="2" applyFont="1" applyBorder="1" applyAlignment="1">
      <alignment vertical="center" shrinkToFit="1"/>
    </xf>
    <xf numFmtId="38" fontId="31" fillId="0" borderId="66" xfId="3" applyFont="1" applyBorder="1" applyAlignment="1">
      <alignment horizontal="right" vertical="center" shrinkToFit="1"/>
    </xf>
    <xf numFmtId="38" fontId="31" fillId="0" borderId="39" xfId="3" applyFont="1" applyBorder="1" applyAlignment="1">
      <alignment horizontal="right" vertical="center" shrinkToFit="1"/>
    </xf>
    <xf numFmtId="38" fontId="31" fillId="0" borderId="30" xfId="3" applyFont="1" applyBorder="1" applyAlignment="1">
      <alignment horizontal="right" vertical="center" shrinkToFit="1"/>
    </xf>
    <xf numFmtId="38" fontId="31" fillId="0" borderId="57" xfId="3" applyFont="1" applyBorder="1" applyAlignment="1">
      <alignment horizontal="right" vertical="center"/>
    </xf>
    <xf numFmtId="38" fontId="21" fillId="0" borderId="44" xfId="3" applyFont="1" applyBorder="1" applyAlignment="1">
      <alignment vertical="center"/>
    </xf>
    <xf numFmtId="38" fontId="19" fillId="0" borderId="43" xfId="3" applyFont="1" applyBorder="1" applyAlignment="1">
      <alignment vertical="center"/>
    </xf>
    <xf numFmtId="0" fontId="16" fillId="6" borderId="20" xfId="2" applyFill="1" applyBorder="1">
      <alignment vertical="center"/>
    </xf>
    <xf numFmtId="0" fontId="16" fillId="6" borderId="21" xfId="2" applyFill="1" applyBorder="1">
      <alignment vertical="center"/>
    </xf>
    <xf numFmtId="38" fontId="21" fillId="6" borderId="22" xfId="3" applyFont="1" applyFill="1" applyBorder="1" applyAlignment="1">
      <alignment vertical="center"/>
    </xf>
    <xf numFmtId="38" fontId="19" fillId="6" borderId="43" xfId="3" applyFont="1" applyFill="1" applyBorder="1" applyAlignment="1">
      <alignment vertical="center"/>
    </xf>
    <xf numFmtId="38" fontId="19" fillId="6" borderId="43" xfId="3" applyFont="1" applyFill="1" applyBorder="1" applyAlignment="1">
      <alignment horizontal="right" vertical="center"/>
    </xf>
    <xf numFmtId="38" fontId="19" fillId="6" borderId="44" xfId="3" applyFont="1" applyFill="1" applyBorder="1" applyAlignment="1">
      <alignment horizontal="right" vertical="center"/>
    </xf>
    <xf numFmtId="38" fontId="31" fillId="0" borderId="74" xfId="3" applyFont="1" applyBorder="1" applyAlignment="1">
      <alignment horizontal="right" vertical="center"/>
    </xf>
    <xf numFmtId="38" fontId="31" fillId="0" borderId="23" xfId="2" applyNumberFormat="1" applyFont="1" applyBorder="1">
      <alignment vertical="center"/>
    </xf>
    <xf numFmtId="0" fontId="16" fillId="6" borderId="75" xfId="2" applyFill="1" applyBorder="1">
      <alignment vertical="center"/>
    </xf>
    <xf numFmtId="0" fontId="16" fillId="0" borderId="0" xfId="2" applyAlignment="1">
      <alignment vertical="center" shrinkToFit="1"/>
    </xf>
    <xf numFmtId="0" fontId="19" fillId="6" borderId="63" xfId="2" applyFont="1" applyFill="1" applyBorder="1" applyAlignment="1">
      <alignment horizontal="center" vertical="center" shrinkToFit="1"/>
    </xf>
    <xf numFmtId="38" fontId="2" fillId="0" borderId="28" xfId="3" applyFont="1" applyBorder="1" applyAlignment="1">
      <alignment horizontal="right" vertical="center" shrinkToFit="1"/>
    </xf>
    <xf numFmtId="38" fontId="31" fillId="0" borderId="31" xfId="3" applyFont="1" applyFill="1" applyBorder="1" applyAlignment="1">
      <alignment horizontal="right" vertical="center" shrinkToFit="1"/>
    </xf>
    <xf numFmtId="0" fontId="31" fillId="0" borderId="38" xfId="3" applyNumberFormat="1" applyFont="1" applyBorder="1" applyAlignment="1">
      <alignment horizontal="right" vertical="center" shrinkToFit="1"/>
    </xf>
    <xf numFmtId="38" fontId="31" fillId="0" borderId="38" xfId="3" applyFont="1" applyBorder="1" applyAlignment="1">
      <alignment horizontal="right" vertical="center"/>
    </xf>
    <xf numFmtId="38" fontId="2" fillId="0" borderId="71" xfId="3" applyFont="1" applyFill="1" applyBorder="1" applyAlignment="1">
      <alignment horizontal="right" vertical="center" shrinkToFit="1"/>
    </xf>
    <xf numFmtId="184" fontId="31" fillId="0" borderId="8" xfId="3" applyNumberFormat="1" applyFont="1" applyBorder="1" applyAlignment="1">
      <alignment horizontal="right" vertical="center" shrinkToFit="1"/>
    </xf>
    <xf numFmtId="38" fontId="31" fillId="0" borderId="9" xfId="3" applyFont="1" applyBorder="1" applyAlignment="1">
      <alignment horizontal="right" vertical="center"/>
    </xf>
    <xf numFmtId="38" fontId="2" fillId="0" borderId="0" xfId="3" applyFont="1" applyFill="1" applyBorder="1" applyAlignment="1">
      <alignment horizontal="right" vertical="center" shrinkToFit="1"/>
    </xf>
    <xf numFmtId="185" fontId="2" fillId="0" borderId="8" xfId="3" applyNumberFormat="1" applyFont="1" applyBorder="1" applyAlignment="1">
      <alignment horizontal="right" vertical="center" shrinkToFit="1"/>
    </xf>
    <xf numFmtId="38" fontId="2" fillId="0" borderId="9" xfId="3" applyFont="1" applyBorder="1" applyAlignment="1">
      <alignment horizontal="right" vertical="center"/>
    </xf>
    <xf numFmtId="38" fontId="31" fillId="0" borderId="0" xfId="3" applyFont="1" applyFill="1" applyBorder="1" applyAlignment="1">
      <alignment horizontal="right" vertical="center" shrinkToFit="1"/>
    </xf>
    <xf numFmtId="0" fontId="31" fillId="0" borderId="8" xfId="3" applyNumberFormat="1" applyFont="1" applyBorder="1" applyAlignment="1">
      <alignment horizontal="right" vertical="center" shrinkToFit="1"/>
    </xf>
    <xf numFmtId="185" fontId="31" fillId="0" borderId="8" xfId="3" applyNumberFormat="1" applyFont="1" applyBorder="1" applyAlignment="1">
      <alignment horizontal="right" vertical="center" shrinkToFit="1"/>
    </xf>
    <xf numFmtId="38" fontId="2" fillId="2" borderId="0" xfId="3" applyFont="1" applyFill="1" applyBorder="1" applyAlignment="1">
      <alignment horizontal="right" vertical="center" shrinkToFit="1"/>
    </xf>
    <xf numFmtId="38" fontId="2" fillId="0" borderId="0" xfId="3" applyFont="1" applyBorder="1" applyAlignment="1">
      <alignment horizontal="right" vertical="center" shrinkToFit="1"/>
    </xf>
    <xf numFmtId="186" fontId="31" fillId="0" borderId="39" xfId="3" applyNumberFormat="1" applyFont="1" applyBorder="1" applyAlignment="1">
      <alignment horizontal="right" vertical="center" shrinkToFit="1"/>
    </xf>
    <xf numFmtId="38" fontId="2" fillId="0" borderId="38" xfId="3" applyFont="1" applyBorder="1" applyAlignment="1">
      <alignment horizontal="right" vertical="center" shrinkToFit="1"/>
    </xf>
    <xf numFmtId="38" fontId="2" fillId="0" borderId="50" xfId="3" applyFont="1" applyBorder="1" applyAlignment="1">
      <alignment horizontal="right" vertical="center"/>
    </xf>
    <xf numFmtId="38" fontId="2" fillId="0" borderId="68" xfId="3" applyFont="1" applyBorder="1" applyAlignment="1">
      <alignment horizontal="right" vertical="center" shrinkToFit="1"/>
    </xf>
    <xf numFmtId="38" fontId="31" fillId="0" borderId="65" xfId="2" applyNumberFormat="1" applyFont="1" applyBorder="1">
      <alignment vertical="center"/>
    </xf>
    <xf numFmtId="38" fontId="2" fillId="0" borderId="8" xfId="3" applyFont="1" applyBorder="1" applyAlignment="1">
      <alignment horizontal="right" vertical="center" shrinkToFit="1"/>
    </xf>
    <xf numFmtId="38" fontId="2" fillId="0" borderId="47" xfId="3" applyFont="1" applyBorder="1" applyAlignment="1">
      <alignment horizontal="right" vertical="center"/>
    </xf>
    <xf numFmtId="38" fontId="2" fillId="0" borderId="66" xfId="3" applyFont="1" applyBorder="1" applyAlignment="1">
      <alignment horizontal="right" vertical="center" shrinkToFit="1"/>
    </xf>
    <xf numFmtId="38" fontId="2" fillId="0" borderId="39" xfId="3" applyFont="1" applyBorder="1" applyAlignment="1">
      <alignment horizontal="right" vertical="center" shrinkToFit="1"/>
    </xf>
    <xf numFmtId="38" fontId="2" fillId="0" borderId="51" xfId="3" applyFont="1" applyBorder="1" applyAlignment="1">
      <alignment horizontal="right" vertical="center"/>
    </xf>
    <xf numFmtId="38" fontId="31" fillId="0" borderId="57" xfId="3" applyFont="1" applyBorder="1" applyAlignment="1">
      <alignment horizontal="right" vertical="center" shrinkToFit="1"/>
    </xf>
    <xf numFmtId="38" fontId="31" fillId="0" borderId="43" xfId="3" applyFont="1" applyBorder="1" applyAlignment="1">
      <alignment horizontal="right" vertical="center"/>
    </xf>
    <xf numFmtId="38" fontId="31" fillId="0" borderId="73" xfId="3" applyFont="1" applyBorder="1" applyAlignment="1">
      <alignment horizontal="right" vertical="center"/>
    </xf>
    <xf numFmtId="0" fontId="31" fillId="0" borderId="69" xfId="2" applyFont="1" applyBorder="1" applyAlignment="1">
      <alignment vertical="center" shrinkToFit="1"/>
    </xf>
    <xf numFmtId="0" fontId="31" fillId="0" borderId="57" xfId="2" applyFont="1" applyBorder="1" applyAlignment="1">
      <alignment vertical="center" shrinkToFit="1"/>
    </xf>
    <xf numFmtId="0" fontId="31" fillId="0" borderId="70" xfId="2" applyFont="1" applyBorder="1" applyAlignment="1">
      <alignment vertical="center" shrinkToFit="1"/>
    </xf>
    <xf numFmtId="0" fontId="31" fillId="0" borderId="75" xfId="2" applyFont="1" applyBorder="1" applyAlignment="1">
      <alignment vertical="center" shrinkToFit="1"/>
    </xf>
    <xf numFmtId="38" fontId="31" fillId="0" borderId="67" xfId="2" applyNumberFormat="1" applyFont="1" applyBorder="1">
      <alignment vertical="center"/>
    </xf>
    <xf numFmtId="0" fontId="19" fillId="4" borderId="61" xfId="2" applyFont="1" applyFill="1" applyBorder="1" applyAlignment="1">
      <alignment horizontal="center" vertical="center"/>
    </xf>
    <xf numFmtId="38" fontId="21" fillId="0" borderId="47" xfId="3" applyFont="1" applyBorder="1" applyAlignment="1">
      <alignment horizontal="right" vertical="center"/>
    </xf>
    <xf numFmtId="38" fontId="19" fillId="0" borderId="50" xfId="3" applyFont="1" applyBorder="1" applyAlignment="1">
      <alignment horizontal="right" vertical="center"/>
    </xf>
    <xf numFmtId="38" fontId="19" fillId="0" borderId="51" xfId="3" applyFont="1" applyBorder="1" applyAlignment="1">
      <alignment horizontal="right" vertical="center"/>
    </xf>
    <xf numFmtId="38" fontId="19" fillId="0" borderId="47" xfId="3" applyFont="1" applyBorder="1" applyAlignment="1">
      <alignment horizontal="right" vertical="center"/>
    </xf>
    <xf numFmtId="38" fontId="19" fillId="0" borderId="78" xfId="3" applyFont="1" applyBorder="1" applyAlignment="1">
      <alignment horizontal="right" vertical="center"/>
    </xf>
    <xf numFmtId="38" fontId="23" fillId="4" borderId="49" xfId="3" applyFont="1" applyFill="1" applyBorder="1" applyAlignment="1">
      <alignment horizontal="center" vertical="center" wrapText="1"/>
    </xf>
    <xf numFmtId="38" fontId="19" fillId="0" borderId="53" xfId="3" applyFont="1" applyBorder="1" applyAlignment="1">
      <alignment horizontal="right" vertical="center"/>
    </xf>
    <xf numFmtId="38" fontId="19" fillId="0" borderId="48" xfId="3" applyFont="1" applyBorder="1" applyAlignment="1">
      <alignment horizontal="right" vertical="center"/>
    </xf>
    <xf numFmtId="38" fontId="21" fillId="0" borderId="75" xfId="3" applyFont="1" applyBorder="1">
      <alignment vertical="center"/>
    </xf>
    <xf numFmtId="0" fontId="0" fillId="0" borderId="0" xfId="0" applyAlignment="1">
      <alignment horizontal="right" vertical="center"/>
    </xf>
    <xf numFmtId="0" fontId="0" fillId="0" borderId="0" xfId="0" applyAlignment="1">
      <alignment horizontal="left" vertical="center"/>
    </xf>
    <xf numFmtId="0" fontId="0" fillId="3" borderId="20" xfId="0" applyFill="1" applyBorder="1" applyAlignment="1">
      <alignment horizontal="centerContinuous" vertical="center"/>
    </xf>
    <xf numFmtId="0" fontId="0" fillId="3" borderId="21" xfId="0" applyFill="1" applyBorder="1" applyAlignment="1">
      <alignment horizontal="centerContinuous" vertical="center"/>
    </xf>
    <xf numFmtId="0" fontId="0" fillId="3" borderId="22" xfId="0" applyFill="1" applyBorder="1" applyAlignment="1">
      <alignment horizontal="centerContinuous" vertical="center"/>
    </xf>
    <xf numFmtId="0" fontId="0" fillId="5" borderId="0" xfId="0" quotePrefix="1" applyFill="1" applyAlignment="1">
      <alignment horizontal="left" vertical="center" shrinkToFit="1"/>
    </xf>
    <xf numFmtId="181" fontId="0" fillId="5" borderId="0" xfId="0" quotePrefix="1" applyNumberFormat="1" applyFill="1" applyAlignment="1">
      <alignment horizontal="left" vertical="center" shrinkToFit="1"/>
    </xf>
    <xf numFmtId="3" fontId="0" fillId="5" borderId="0" xfId="0" applyNumberFormat="1" applyFill="1" applyAlignment="1">
      <alignment vertical="center" shrinkToFit="1"/>
    </xf>
    <xf numFmtId="0" fontId="7" fillId="2" borderId="0" xfId="0" applyFont="1" applyFill="1" applyAlignment="1">
      <alignment vertical="center" shrinkToFit="1"/>
    </xf>
    <xf numFmtId="0" fontId="7" fillId="2" borderId="11" xfId="0" applyFont="1" applyFill="1" applyBorder="1" applyAlignment="1">
      <alignment vertical="center" shrinkToFit="1"/>
    </xf>
    <xf numFmtId="0" fontId="5" fillId="2" borderId="15" xfId="0" applyFont="1" applyFill="1" applyBorder="1">
      <alignment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16" xfId="0" applyFont="1" applyFill="1" applyBorder="1" applyAlignment="1">
      <alignment horizontal="center" vertical="center" shrinkToFi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 xfId="0" applyFont="1" applyFill="1" applyBorder="1" applyAlignment="1">
      <alignment horizontal="right" vertical="center"/>
    </xf>
    <xf numFmtId="0" fontId="7" fillId="2" borderId="2" xfId="0" applyFont="1" applyFill="1" applyBorder="1">
      <alignment vertical="center"/>
    </xf>
    <xf numFmtId="0" fontId="32" fillId="2" borderId="0" xfId="0" applyFont="1" applyFill="1">
      <alignment vertical="center"/>
    </xf>
    <xf numFmtId="0" fontId="26" fillId="2" borderId="0" xfId="0" applyFont="1" applyFill="1">
      <alignment vertical="center"/>
    </xf>
    <xf numFmtId="0" fontId="7" fillId="2" borderId="15" xfId="0" applyFont="1" applyFill="1" applyBorder="1" applyAlignment="1">
      <alignment vertical="center" shrinkToFit="1"/>
    </xf>
    <xf numFmtId="0" fontId="7" fillId="2" borderId="15" xfId="0" applyFont="1" applyFill="1" applyBorder="1" applyAlignment="1">
      <alignment horizontal="center" vertical="center" shrinkToFit="1"/>
    </xf>
    <xf numFmtId="0" fontId="7" fillId="2" borderId="10" xfId="0" applyFont="1" applyFill="1" applyBorder="1" applyAlignment="1">
      <alignment vertical="center" shrinkToFit="1"/>
    </xf>
    <xf numFmtId="0" fontId="7" fillId="2" borderId="14" xfId="0" applyFont="1" applyFill="1" applyBorder="1" applyAlignment="1">
      <alignment horizontal="center" vertical="center"/>
    </xf>
    <xf numFmtId="0" fontId="7" fillId="2" borderId="1" xfId="0" applyFont="1" applyFill="1" applyBorder="1" applyAlignment="1">
      <alignment vertical="center" shrinkToFit="1"/>
    </xf>
    <xf numFmtId="0" fontId="7" fillId="2" borderId="9" xfId="0" applyFont="1" applyFill="1" applyBorder="1" applyAlignment="1">
      <alignment horizontal="center" vertical="center"/>
    </xf>
    <xf numFmtId="0" fontId="7" fillId="2" borderId="0" xfId="0" applyFont="1" applyFill="1" applyAlignment="1">
      <alignment horizontal="center" vertical="center" shrinkToFit="1"/>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6" xfId="0" applyFont="1" applyFill="1" applyBorder="1" applyAlignment="1">
      <alignment horizontal="center" vertical="center" wrapText="1" shrinkToFit="1"/>
    </xf>
    <xf numFmtId="0" fontId="2" fillId="2" borderId="2" xfId="0" applyFont="1" applyFill="1" applyBorder="1" applyAlignment="1">
      <alignment horizontal="distributed" vertical="center"/>
    </xf>
    <xf numFmtId="0" fontId="7" fillId="2" borderId="4" xfId="0" applyFont="1" applyFill="1" applyBorder="1">
      <alignment vertical="center"/>
    </xf>
    <xf numFmtId="0" fontId="7" fillId="2" borderId="2" xfId="0" applyFont="1" applyFill="1" applyBorder="1" applyAlignment="1">
      <alignment horizontal="distributed" vertical="center"/>
    </xf>
    <xf numFmtId="0" fontId="7" fillId="2" borderId="2" xfId="0" applyFont="1" applyFill="1" applyBorder="1" applyAlignment="1">
      <alignment horizontal="distributed" vertical="center" shrinkToFit="1"/>
    </xf>
    <xf numFmtId="0" fontId="7" fillId="2" borderId="0" xfId="0" applyFont="1" applyFill="1" applyAlignment="1">
      <alignment horizontal="center" vertical="center"/>
    </xf>
    <xf numFmtId="0" fontId="2" fillId="2" borderId="0" xfId="0" applyFont="1" applyFill="1" applyAlignment="1">
      <alignment horizontal="right" vertical="center"/>
    </xf>
    <xf numFmtId="0" fontId="32" fillId="2" borderId="0" xfId="0" quotePrefix="1" applyFont="1" applyFill="1">
      <alignment vertical="center"/>
    </xf>
    <xf numFmtId="0" fontId="2" fillId="2" borderId="0" xfId="0" applyFont="1" applyFill="1" applyAlignment="1">
      <alignment horizontal="distributed" vertical="center"/>
    </xf>
    <xf numFmtId="0" fontId="33" fillId="2" borderId="0" xfId="0" applyFont="1" applyFill="1">
      <alignment vertical="center"/>
    </xf>
    <xf numFmtId="0" fontId="2" fillId="2" borderId="0" xfId="0" applyFont="1" applyFill="1" applyAlignment="1">
      <alignment horizontal="left" vertical="center"/>
    </xf>
    <xf numFmtId="0" fontId="26" fillId="2" borderId="0" xfId="0" quotePrefix="1" applyFont="1" applyFill="1">
      <alignment vertical="center"/>
    </xf>
    <xf numFmtId="0" fontId="7" fillId="2" borderId="0" xfId="0" quotePrefix="1" applyFont="1" applyFill="1">
      <alignment vertical="center"/>
    </xf>
    <xf numFmtId="0" fontId="7" fillId="2" borderId="0" xfId="0" quotePrefix="1" applyFont="1" applyFill="1" applyAlignment="1">
      <alignment horizontal="center" vertical="center"/>
    </xf>
    <xf numFmtId="0" fontId="7" fillId="2" borderId="0" xfId="0" applyFont="1" applyFill="1" applyAlignment="1">
      <alignment horizontal="distributed" vertical="center"/>
    </xf>
    <xf numFmtId="176" fontId="7" fillId="2" borderId="0" xfId="0" applyNumberFormat="1" applyFont="1" applyFill="1" applyAlignment="1">
      <alignment horizontal="distributed" vertical="center"/>
    </xf>
    <xf numFmtId="176" fontId="7" fillId="2" borderId="0" xfId="0" applyNumberFormat="1" applyFont="1" applyFill="1">
      <alignment vertical="center"/>
    </xf>
    <xf numFmtId="176" fontId="7" fillId="2" borderId="0" xfId="0" applyNumberFormat="1" applyFont="1" applyFill="1" applyAlignment="1">
      <alignment vertical="center" shrinkToFit="1"/>
    </xf>
    <xf numFmtId="0" fontId="34" fillId="2" borderId="0" xfId="0" applyFont="1" applyFill="1">
      <alignment vertical="center"/>
    </xf>
    <xf numFmtId="0" fontId="34" fillId="2" borderId="0" xfId="0" applyFont="1" applyFill="1" applyAlignment="1">
      <alignment horizontal="right" vertical="center"/>
    </xf>
    <xf numFmtId="0" fontId="34" fillId="2" borderId="0" xfId="0" applyFont="1" applyFill="1" applyAlignment="1">
      <alignment horizontal="left" vertical="center"/>
    </xf>
    <xf numFmtId="0" fontId="7" fillId="2" borderId="0" xfId="0" applyFont="1" applyFill="1" applyAlignment="1">
      <alignment horizontal="left" vertical="center"/>
    </xf>
    <xf numFmtId="0" fontId="34" fillId="2" borderId="0" xfId="0" applyFont="1" applyFill="1" applyAlignment="1">
      <alignment horizontal="center" vertical="center"/>
    </xf>
    <xf numFmtId="182" fontId="7" fillId="2" borderId="0" xfId="0" applyNumberFormat="1" applyFont="1" applyFill="1" applyAlignment="1">
      <alignment horizontal="distributed" vertical="center"/>
    </xf>
    <xf numFmtId="0" fontId="35" fillId="2" borderId="0" xfId="0" applyFont="1" applyFill="1">
      <alignment vertical="center"/>
    </xf>
    <xf numFmtId="0" fontId="36" fillId="2" borderId="0" xfId="0" applyFont="1" applyFill="1">
      <alignment vertical="center"/>
    </xf>
    <xf numFmtId="0" fontId="2" fillId="2" borderId="0" xfId="0" applyFont="1" applyFill="1" applyAlignment="1">
      <alignment horizontal="center" vertical="center"/>
    </xf>
    <xf numFmtId="176" fontId="7" fillId="2" borderId="0" xfId="0" applyNumberFormat="1" applyFont="1" applyFill="1" applyAlignment="1">
      <alignment horizontal="right" vertical="center"/>
    </xf>
    <xf numFmtId="0" fontId="2" fillId="2" borderId="0" xfId="0" applyFont="1" applyFill="1" applyAlignment="1">
      <alignment horizontal="centerContinuous" vertical="center"/>
    </xf>
    <xf numFmtId="0" fontId="37" fillId="2" borderId="0" xfId="0" applyFont="1" applyFill="1">
      <alignment vertical="center"/>
    </xf>
    <xf numFmtId="0" fontId="32" fillId="2" borderId="0" xfId="0" quotePrefix="1" applyFont="1" applyFill="1" applyAlignment="1"/>
    <xf numFmtId="0" fontId="2" fillId="2" borderId="0" xfId="0" applyFont="1" applyFill="1" applyAlignment="1"/>
    <xf numFmtId="0" fontId="2" fillId="2" borderId="3" xfId="0" quotePrefix="1" applyFont="1" applyFill="1" applyBorder="1" applyAlignment="1">
      <alignment horizontal="center" vertical="center"/>
    </xf>
    <xf numFmtId="0" fontId="2" fillId="2" borderId="15" xfId="0" applyFont="1" applyFill="1" applyBorder="1">
      <alignment vertical="center"/>
    </xf>
    <xf numFmtId="176" fontId="2" fillId="2" borderId="3" xfId="0" applyNumberFormat="1" applyFont="1" applyFill="1" applyBorder="1" applyAlignment="1">
      <alignment horizontal="right" vertical="center" shrinkToFit="1"/>
    </xf>
    <xf numFmtId="176" fontId="2" fillId="2" borderId="0" xfId="0" applyNumberFormat="1" applyFont="1" applyFill="1" applyAlignment="1">
      <alignment horizontal="left" vertical="center" shrinkToFit="1"/>
    </xf>
    <xf numFmtId="176" fontId="2" fillId="2" borderId="3" xfId="0" applyNumberFormat="1" applyFont="1" applyFill="1" applyBorder="1" applyAlignment="1">
      <alignment horizontal="right" vertical="center"/>
    </xf>
    <xf numFmtId="176" fontId="2" fillId="2" borderId="0" xfId="0" applyNumberFormat="1" applyFont="1" applyFill="1" applyAlignment="1">
      <alignment horizontal="left" vertical="center"/>
    </xf>
    <xf numFmtId="183" fontId="2" fillId="2" borderId="0" xfId="0" applyNumberFormat="1" applyFont="1" applyFill="1" applyAlignment="1">
      <alignment vertical="center" shrinkToFit="1"/>
    </xf>
    <xf numFmtId="0" fontId="2" fillId="2" borderId="4" xfId="0" applyFont="1" applyFill="1" applyBorder="1" applyAlignment="1">
      <alignment horizontal="distributed" vertical="center"/>
    </xf>
    <xf numFmtId="0" fontId="2" fillId="2" borderId="5" xfId="0" applyFont="1" applyFill="1" applyBorder="1" applyAlignment="1">
      <alignment vertical="center" shrinkToFit="1"/>
    </xf>
    <xf numFmtId="0" fontId="2" fillId="2" borderId="2" xfId="0" applyFont="1" applyFill="1" applyBorder="1" applyAlignment="1">
      <alignment horizontal="distributed" vertical="center" wrapText="1"/>
    </xf>
    <xf numFmtId="0" fontId="2" fillId="2" borderId="5" xfId="0" applyFont="1" applyFill="1" applyBorder="1">
      <alignment vertical="center"/>
    </xf>
    <xf numFmtId="0" fontId="2" fillId="2" borderId="14" xfId="0" applyFont="1" applyFill="1" applyBorder="1" applyAlignment="1">
      <alignment horizontal="distributed" vertical="center"/>
    </xf>
    <xf numFmtId="0" fontId="2" fillId="2" borderId="20" xfId="0" applyFont="1" applyFill="1" applyBorder="1" applyAlignment="1">
      <alignment horizontal="distributed" vertical="center"/>
    </xf>
    <xf numFmtId="0" fontId="2" fillId="2" borderId="15" xfId="0" applyFont="1" applyFill="1" applyBorder="1" applyAlignment="1">
      <alignment vertical="center" wrapText="1"/>
    </xf>
    <xf numFmtId="0" fontId="2" fillId="2" borderId="11" xfId="0" applyFont="1" applyFill="1" applyBorder="1">
      <alignment vertical="center"/>
    </xf>
    <xf numFmtId="0" fontId="2" fillId="2" borderId="10" xfId="0" applyFont="1" applyFill="1" applyBorder="1">
      <alignment vertical="center"/>
    </xf>
    <xf numFmtId="0" fontId="5" fillId="2" borderId="12" xfId="0" applyFont="1" applyFill="1" applyBorder="1">
      <alignment vertical="center"/>
    </xf>
    <xf numFmtId="0" fontId="2" fillId="2" borderId="4" xfId="0" applyFont="1" applyFill="1" applyBorder="1" applyAlignment="1">
      <alignment horizontal="distributed" vertical="center" wrapText="1"/>
    </xf>
    <xf numFmtId="0" fontId="5" fillId="2" borderId="14" xfId="0" applyFont="1" applyFill="1" applyBorder="1" applyAlignment="1">
      <alignment horizontal="distributed" vertical="center"/>
    </xf>
    <xf numFmtId="0" fontId="2" fillId="2" borderId="22" xfId="0" applyFont="1" applyFill="1" applyBorder="1">
      <alignment vertical="center"/>
    </xf>
    <xf numFmtId="0" fontId="2" fillId="2" borderId="15" xfId="0" applyFont="1" applyFill="1" applyBorder="1" applyAlignment="1">
      <alignment horizontal="distributed" vertical="center"/>
    </xf>
    <xf numFmtId="0" fontId="5" fillId="2" borderId="4" xfId="0" applyFont="1" applyFill="1" applyBorder="1" applyAlignment="1">
      <alignment horizontal="distributed" vertical="center"/>
    </xf>
    <xf numFmtId="0" fontId="2" fillId="2" borderId="3" xfId="0" applyFont="1" applyFill="1" applyBorder="1" applyAlignment="1">
      <alignment horizontal="center" vertical="center" wrapText="1"/>
    </xf>
    <xf numFmtId="0" fontId="0" fillId="0" borderId="0" xfId="0" applyAlignment="1">
      <alignment horizontal="left" vertical="center" wrapText="1" indent="1" shrinkToFit="1"/>
    </xf>
    <xf numFmtId="0" fontId="0" fillId="0" borderId="0" xfId="0" applyAlignment="1">
      <alignment horizontal="left" vertical="center" wrapText="1" indent="2" shrinkToFit="1"/>
    </xf>
    <xf numFmtId="0" fontId="2" fillId="2" borderId="12" xfId="0" applyFont="1" applyFill="1" applyBorder="1" applyAlignment="1">
      <alignment vertical="center" shrinkToFit="1"/>
    </xf>
    <xf numFmtId="0" fontId="5" fillId="2" borderId="5" xfId="0" applyFont="1" applyFill="1" applyBorder="1" applyAlignment="1">
      <alignment vertical="center" shrinkToFit="1"/>
    </xf>
    <xf numFmtId="0" fontId="2" fillId="2" borderId="5" xfId="0" applyFont="1" applyFill="1" applyBorder="1" applyAlignment="1">
      <alignment horizontal="left" vertical="center" shrinkToFit="1"/>
    </xf>
    <xf numFmtId="0" fontId="2" fillId="2" borderId="0" xfId="0" applyFont="1" applyFill="1" applyAlignment="1">
      <alignment horizontal="center" vertical="center" wrapText="1"/>
    </xf>
    <xf numFmtId="0" fontId="2" fillId="2" borderId="7" xfId="0" applyFont="1" applyFill="1" applyBorder="1" applyAlignment="1">
      <alignment vertical="center" wrapText="1"/>
    </xf>
    <xf numFmtId="0" fontId="9"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0" fillId="0" borderId="0" xfId="0" applyAlignment="1">
      <alignment horizontal="left" vertical="center" indent="1"/>
    </xf>
    <xf numFmtId="0" fontId="7" fillId="2" borderId="0" xfId="0" applyFont="1" applyFill="1" applyAlignment="1">
      <alignment vertical="top" wrapText="1"/>
    </xf>
    <xf numFmtId="0" fontId="30" fillId="0" borderId="0" xfId="0" applyFont="1">
      <alignment vertical="center"/>
    </xf>
    <xf numFmtId="0" fontId="2" fillId="2" borderId="2" xfId="0" applyFont="1" applyFill="1" applyBorder="1" applyAlignment="1">
      <alignment vertical="center" wrapText="1"/>
    </xf>
    <xf numFmtId="0" fontId="0" fillId="0" borderId="0" xfId="0" applyAlignment="1">
      <alignment vertical="center" textRotation="255"/>
    </xf>
    <xf numFmtId="0" fontId="0" fillId="0" borderId="0" xfId="0" applyAlignment="1">
      <alignment horizontal="centerContinuous" vertical="center"/>
    </xf>
    <xf numFmtId="0" fontId="41" fillId="0" borderId="0" xfId="0" applyFont="1" applyAlignment="1">
      <alignment vertical="center" wrapText="1" shrinkToFit="1"/>
    </xf>
    <xf numFmtId="0" fontId="41" fillId="0" borderId="0" xfId="0" applyFont="1" applyAlignment="1">
      <alignment vertical="center" shrinkToFit="1"/>
    </xf>
    <xf numFmtId="0" fontId="41" fillId="5" borderId="0" xfId="0" quotePrefix="1" applyFont="1" applyFill="1" applyAlignment="1">
      <alignment horizontal="left" vertical="center" shrinkToFit="1"/>
    </xf>
    <xf numFmtId="0" fontId="42" fillId="5" borderId="0" xfId="0" applyFont="1" applyFill="1">
      <alignment vertical="center"/>
    </xf>
    <xf numFmtId="0" fontId="42" fillId="5" borderId="0" xfId="0" applyFont="1" applyFill="1" applyAlignment="1">
      <alignment horizontal="left" vertical="center" shrinkToFit="1"/>
    </xf>
    <xf numFmtId="0" fontId="0" fillId="0" borderId="0" xfId="0" applyAlignment="1">
      <alignment horizontal="left" vertical="center" wrapText="1" indent="1"/>
    </xf>
    <xf numFmtId="0" fontId="0" fillId="0" borderId="0" xfId="0" applyAlignment="1" applyProtection="1">
      <alignment horizontal="left" vertical="center" shrinkToFit="1"/>
      <protection locked="0"/>
    </xf>
    <xf numFmtId="183" fontId="0" fillId="0" borderId="0" xfId="0" applyNumberFormat="1" applyAlignment="1" applyProtection="1">
      <alignment horizontal="left" vertical="center" shrinkToFit="1"/>
      <protection locked="0"/>
    </xf>
    <xf numFmtId="0" fontId="13" fillId="0" borderId="0" xfId="1" applyAlignment="1" applyProtection="1">
      <alignment horizontal="left" vertical="center" shrinkToFit="1"/>
      <protection locked="0"/>
    </xf>
    <xf numFmtId="0" fontId="39" fillId="0" borderId="0" xfId="1" applyFont="1" applyAlignment="1" applyProtection="1">
      <alignment horizontal="left" vertical="center" shrinkToFit="1"/>
      <protection locked="0"/>
    </xf>
    <xf numFmtId="0" fontId="42" fillId="0" borderId="0" xfId="0" applyFont="1" applyAlignment="1" applyProtection="1">
      <alignment horizontal="left" vertical="center" shrinkToFit="1"/>
      <protection locked="0"/>
    </xf>
    <xf numFmtId="0" fontId="42" fillId="0" borderId="0" xfId="0" applyFont="1" applyAlignment="1" applyProtection="1">
      <alignment horizontal="left" vertical="center" wrapText="1" shrinkToFit="1"/>
      <protection locked="0"/>
    </xf>
    <xf numFmtId="0" fontId="41" fillId="0" borderId="0" xfId="0" applyFont="1" applyAlignment="1" applyProtection="1">
      <alignment horizontal="left" vertical="center" wrapText="1" shrinkToFit="1"/>
      <protection locked="0"/>
    </xf>
    <xf numFmtId="0" fontId="41" fillId="0" borderId="0" xfId="0" applyFont="1" applyAlignment="1" applyProtection="1">
      <alignment horizontal="left" vertical="center" shrinkToFit="1"/>
      <protection locked="0"/>
    </xf>
    <xf numFmtId="176" fontId="0" fillId="0" borderId="0" xfId="0" applyNumberFormat="1" applyAlignment="1" applyProtection="1">
      <alignment horizontal="left" vertical="center" shrinkToFit="1"/>
      <protection locked="0"/>
    </xf>
    <xf numFmtId="0" fontId="0" fillId="0" borderId="0" xfId="0" applyAlignment="1" applyProtection="1">
      <alignment horizontal="left" vertical="center" wrapText="1" shrinkToFit="1"/>
      <protection locked="0"/>
    </xf>
    <xf numFmtId="49" fontId="0" fillId="0" borderId="0" xfId="0" applyNumberFormat="1" applyAlignment="1" applyProtection="1">
      <alignment horizontal="left" vertical="center" shrinkToFit="1"/>
      <protection locked="0"/>
    </xf>
    <xf numFmtId="188" fontId="0" fillId="0" borderId="0" xfId="0" applyNumberFormat="1" applyAlignment="1" applyProtection="1">
      <alignment horizontal="left" vertical="center" shrinkToFit="1"/>
      <protection locked="0"/>
    </xf>
    <xf numFmtId="0" fontId="30" fillId="0" borderId="0" xfId="0" applyFont="1" applyAlignment="1" applyProtection="1">
      <alignment horizontal="right" vertical="center"/>
      <protection locked="0"/>
    </xf>
    <xf numFmtId="177" fontId="30" fillId="0" borderId="0" xfId="0" applyNumberFormat="1" applyFont="1" applyProtection="1">
      <alignment vertical="center"/>
      <protection locked="0"/>
    </xf>
    <xf numFmtId="0" fontId="0" fillId="0" borderId="0" xfId="0" applyAlignment="1" applyProtection="1">
      <alignment vertical="center" shrinkToFit="1"/>
      <protection locked="0"/>
    </xf>
    <xf numFmtId="179" fontId="0" fillId="0" borderId="0" xfId="0" applyNumberFormat="1" applyAlignment="1" applyProtection="1">
      <alignment vertical="center" shrinkToFit="1"/>
      <protection locked="0"/>
    </xf>
    <xf numFmtId="0" fontId="0" fillId="5" borderId="0" xfId="0" applyFill="1" applyAlignment="1" applyProtection="1">
      <alignment horizontal="left" vertical="center" shrinkToFit="1"/>
      <protection locked="0"/>
    </xf>
    <xf numFmtId="183" fontId="0" fillId="5" borderId="0" xfId="0" applyNumberFormat="1" applyFill="1" applyAlignment="1" applyProtection="1">
      <alignment horizontal="left" vertical="center" shrinkToFit="1"/>
      <protection locked="0"/>
    </xf>
    <xf numFmtId="178" fontId="0" fillId="0" borderId="0" xfId="0" applyNumberFormat="1" applyAlignment="1" applyProtection="1">
      <alignment horizontal="left" vertical="center" shrinkToFit="1"/>
      <protection locked="0"/>
    </xf>
    <xf numFmtId="181" fontId="0" fillId="0" borderId="0" xfId="0" applyNumberFormat="1" applyAlignment="1" applyProtection="1">
      <alignment horizontal="left" vertical="center" shrinkToFit="1"/>
      <protection locked="0"/>
    </xf>
    <xf numFmtId="0" fontId="0" fillId="0" borderId="0" xfId="0" quotePrefix="1" applyAlignment="1" applyProtection="1">
      <alignment horizontal="left" vertical="center" shrinkToFit="1"/>
      <protection locked="0"/>
    </xf>
    <xf numFmtId="0" fontId="0" fillId="0" borderId="0" xfId="0" applyAlignment="1">
      <alignment horizontal="left" vertical="center" wrapText="1"/>
    </xf>
    <xf numFmtId="0" fontId="0" fillId="5" borderId="0" xfId="0" applyFill="1" applyAlignment="1">
      <alignment horizontal="left" vertical="center" shrinkToFit="1"/>
    </xf>
    <xf numFmtId="178" fontId="0" fillId="5" borderId="0" xfId="0" applyNumberFormat="1" applyFill="1" applyAlignment="1">
      <alignment horizontal="left" vertical="center" shrinkToFit="1"/>
    </xf>
    <xf numFmtId="14" fontId="0" fillId="5" borderId="0" xfId="0" applyNumberFormat="1" applyFill="1" applyAlignment="1">
      <alignment horizontal="left" vertical="center" shrinkToFit="1"/>
    </xf>
    <xf numFmtId="187" fontId="46" fillId="0" borderId="0" xfId="0" applyNumberFormat="1" applyFont="1" applyAlignment="1">
      <alignment horizontal="left" vertical="center"/>
    </xf>
    <xf numFmtId="0" fontId="47" fillId="0" borderId="0" xfId="0" applyFo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lignment vertical="center"/>
    </xf>
    <xf numFmtId="0" fontId="2" fillId="2" borderId="10" xfId="0" applyFont="1" applyFill="1" applyBorder="1">
      <alignment vertical="center"/>
    </xf>
    <xf numFmtId="0" fontId="2" fillId="2" borderId="1" xfId="0" applyFont="1" applyFill="1" applyBorder="1">
      <alignment vertical="center"/>
    </xf>
    <xf numFmtId="0" fontId="2" fillId="2" borderId="12" xfId="0" applyFont="1" applyFill="1" applyBorder="1">
      <alignment vertical="center"/>
    </xf>
    <xf numFmtId="0" fontId="2" fillId="2" borderId="2" xfId="0" applyFont="1" applyFill="1" applyBorder="1">
      <alignment vertical="center"/>
    </xf>
    <xf numFmtId="0" fontId="2" fillId="2" borderId="5" xfId="0" applyFont="1" applyFill="1" applyBorder="1">
      <alignment vertical="center"/>
    </xf>
    <xf numFmtId="0" fontId="2" fillId="2" borderId="15" xfId="0" applyFont="1" applyFill="1" applyBorder="1" applyAlignment="1">
      <alignment vertical="center" wrapText="1"/>
    </xf>
    <xf numFmtId="0" fontId="2" fillId="2" borderId="10" xfId="0" applyFont="1" applyFill="1" applyBorder="1" applyAlignment="1">
      <alignment vertical="center" wrapText="1"/>
    </xf>
    <xf numFmtId="0" fontId="2" fillId="2" borderId="1" xfId="0" applyFont="1" applyFill="1" applyBorder="1" applyAlignment="1">
      <alignment vertical="center" wrapText="1"/>
    </xf>
    <xf numFmtId="0" fontId="2" fillId="2" borderId="12" xfId="0" applyFont="1" applyFill="1" applyBorder="1" applyAlignment="1">
      <alignment vertical="center" wrapText="1"/>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0" fontId="2" fillId="2" borderId="4" xfId="0" applyFont="1" applyFill="1" applyBorder="1">
      <alignment vertical="center"/>
    </xf>
    <xf numFmtId="0" fontId="2" fillId="2" borderId="1" xfId="0" applyFont="1" applyFill="1" applyBorder="1" applyAlignment="1">
      <alignment vertical="center" shrinkToFit="1"/>
    </xf>
    <xf numFmtId="0" fontId="2" fillId="2" borderId="12" xfId="0" applyFont="1" applyFill="1" applyBorder="1" applyAlignment="1">
      <alignment vertical="center" shrinkToFit="1"/>
    </xf>
    <xf numFmtId="0" fontId="9" fillId="2" borderId="0" xfId="0" applyFont="1" applyFill="1" applyAlignment="1">
      <alignment horizontal="right" vertical="center"/>
    </xf>
    <xf numFmtId="0" fontId="2" fillId="2" borderId="0" xfId="0" applyFont="1" applyFill="1">
      <alignment vertical="center"/>
    </xf>
    <xf numFmtId="0" fontId="2" fillId="2" borderId="11" xfId="0" applyFont="1" applyFill="1" applyBorder="1">
      <alignment vertical="center"/>
    </xf>
    <xf numFmtId="0" fontId="2" fillId="2" borderId="13" xfId="0" applyFont="1" applyFill="1" applyBorder="1" applyAlignment="1">
      <alignment horizontal="distributed" vertical="center"/>
    </xf>
    <xf numFmtId="0" fontId="2" fillId="2" borderId="14" xfId="0" applyFont="1" applyFill="1" applyBorder="1" applyAlignment="1">
      <alignment horizontal="distributed" vertical="center"/>
    </xf>
    <xf numFmtId="0" fontId="2" fillId="2" borderId="0" xfId="0" applyFont="1" applyFill="1" applyAlignment="1">
      <alignment horizontal="left" vertical="center" wrapText="1"/>
    </xf>
    <xf numFmtId="0" fontId="2" fillId="2" borderId="21" xfId="0" applyFont="1" applyFill="1" applyBorder="1">
      <alignment vertical="center"/>
    </xf>
    <xf numFmtId="0" fontId="2" fillId="2" borderId="22" xfId="0" applyFont="1" applyFill="1" applyBorder="1">
      <alignment vertical="center"/>
    </xf>
    <xf numFmtId="0" fontId="2" fillId="2" borderId="0" xfId="0" quotePrefix="1" applyFont="1" applyFill="1" applyAlignment="1">
      <alignment horizontal="right" vertical="center"/>
    </xf>
    <xf numFmtId="0" fontId="2" fillId="2" borderId="15"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15" xfId="0" applyFont="1" applyFill="1" applyBorder="1" applyAlignment="1">
      <alignment horizontal="distributed" vertical="center" wrapText="1"/>
    </xf>
    <xf numFmtId="0" fontId="2" fillId="2" borderId="0" xfId="0" applyFont="1" applyFill="1" applyAlignment="1">
      <alignment horizontal="center" vertical="center"/>
    </xf>
    <xf numFmtId="0" fontId="2" fillId="2" borderId="9" xfId="0" applyFont="1" applyFill="1" applyBorder="1" applyAlignment="1">
      <alignment horizontal="distributed" vertical="center"/>
    </xf>
    <xf numFmtId="0" fontId="2" fillId="2" borderId="4" xfId="0" applyFont="1" applyFill="1" applyBorder="1" applyAlignment="1">
      <alignment vertical="center" shrinkToFit="1"/>
    </xf>
    <xf numFmtId="0" fontId="2" fillId="2" borderId="2" xfId="0" applyFont="1" applyFill="1" applyBorder="1" applyAlignment="1">
      <alignment vertical="center" shrinkToFit="1"/>
    </xf>
    <xf numFmtId="0" fontId="2" fillId="2" borderId="5" xfId="0" applyFont="1" applyFill="1" applyBorder="1" applyAlignment="1">
      <alignment vertical="center" shrinkToFit="1"/>
    </xf>
    <xf numFmtId="0" fontId="2" fillId="2" borderId="3" xfId="0" applyFont="1" applyFill="1" applyBorder="1" applyAlignment="1">
      <alignment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left" vertical="center" wrapText="1" inden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0" xfId="0" applyFont="1" applyFill="1" applyAlignment="1">
      <alignment horizontal="center" vertical="center"/>
    </xf>
    <xf numFmtId="0" fontId="7" fillId="2" borderId="15" xfId="0" applyFont="1" applyFill="1" applyBorder="1" applyAlignment="1">
      <alignment vertical="center" shrinkToFi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vertical="center" shrinkToFit="1"/>
    </xf>
    <xf numFmtId="0" fontId="7" fillId="2" borderId="2" xfId="0" applyFont="1" applyFill="1" applyBorder="1" applyAlignment="1">
      <alignment vertical="center" shrinkToFit="1"/>
    </xf>
    <xf numFmtId="0" fontId="7" fillId="2" borderId="5" xfId="0" applyFont="1" applyFill="1" applyBorder="1" applyAlignment="1">
      <alignment vertical="center" shrinkToFit="1"/>
    </xf>
    <xf numFmtId="0" fontId="7" fillId="2" borderId="10" xfId="0" applyFont="1" applyFill="1" applyBorder="1" applyAlignment="1">
      <alignment vertical="center" shrinkToFit="1"/>
    </xf>
    <xf numFmtId="0" fontId="7" fillId="2" borderId="0" xfId="0" applyFont="1" applyFill="1" applyAlignment="1">
      <alignment vertical="center" shrinkToFit="1"/>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1"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1" xfId="0" applyFont="1" applyFill="1" applyBorder="1" applyAlignment="1">
      <alignment vertical="center" shrinkToFit="1"/>
    </xf>
    <xf numFmtId="0" fontId="7" fillId="2" borderId="12" xfId="0" applyFont="1" applyFill="1" applyBorder="1" applyAlignment="1">
      <alignment vertical="center" shrinkToFit="1"/>
    </xf>
    <xf numFmtId="0" fontId="7" fillId="2" borderId="4" xfId="0" applyFont="1" applyFill="1" applyBorder="1" applyAlignment="1">
      <alignment vertical="center" wrapText="1"/>
    </xf>
    <xf numFmtId="0" fontId="7" fillId="2" borderId="2" xfId="0" applyFont="1" applyFill="1" applyBorder="1" applyAlignment="1">
      <alignment vertical="center" wrapText="1"/>
    </xf>
    <xf numFmtId="0" fontId="7" fillId="2" borderId="5" xfId="0" applyFont="1" applyFill="1" applyBorder="1" applyAlignment="1">
      <alignment vertical="center" wrapText="1"/>
    </xf>
    <xf numFmtId="0" fontId="7" fillId="2" borderId="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2" borderId="14" xfId="0" applyFont="1" applyFill="1" applyBorder="1" applyAlignment="1">
      <alignment horizontal="left" vertical="center"/>
    </xf>
    <xf numFmtId="0" fontId="7" fillId="2" borderId="1" xfId="0" applyFont="1" applyFill="1" applyBorder="1" applyAlignment="1">
      <alignment horizontal="left" vertical="center"/>
    </xf>
    <xf numFmtId="0" fontId="7" fillId="2" borderId="12" xfId="0" applyFont="1" applyFill="1" applyBorder="1" applyAlignment="1">
      <alignment horizontal="left" vertical="center"/>
    </xf>
    <xf numFmtId="0" fontId="7" fillId="2" borderId="2" xfId="0" applyFont="1" applyFill="1" applyBorder="1" applyAlignment="1">
      <alignment horizontal="left" vertical="center" shrinkToFit="1"/>
    </xf>
    <xf numFmtId="0" fontId="7" fillId="2" borderId="5" xfId="0" applyFont="1" applyFill="1" applyBorder="1" applyAlignment="1">
      <alignment horizontal="left" vertical="center" shrinkToFit="1"/>
    </xf>
    <xf numFmtId="0" fontId="7" fillId="2" borderId="4" xfId="0" applyFont="1" applyFill="1" applyBorder="1" applyAlignment="1">
      <alignment horizontal="left" vertical="center" shrinkToFit="1"/>
    </xf>
    <xf numFmtId="0" fontId="19" fillId="4" borderId="24" xfId="2" applyFont="1" applyFill="1" applyBorder="1" applyAlignment="1">
      <alignment horizontal="center" vertical="center"/>
    </xf>
    <xf numFmtId="0" fontId="19" fillId="4" borderId="25" xfId="2" applyFont="1" applyFill="1" applyBorder="1" applyAlignment="1">
      <alignment horizontal="center" vertical="center"/>
    </xf>
    <xf numFmtId="0" fontId="19" fillId="4" borderId="26" xfId="2" applyFont="1" applyFill="1" applyBorder="1" applyAlignment="1">
      <alignment horizontal="center" vertical="center"/>
    </xf>
    <xf numFmtId="0" fontId="19" fillId="4" borderId="27" xfId="2" applyFont="1" applyFill="1" applyBorder="1" applyAlignment="1">
      <alignment horizontal="center" vertical="center"/>
    </xf>
    <xf numFmtId="0" fontId="19" fillId="0" borderId="13" xfId="2" applyFont="1" applyBorder="1" applyAlignment="1">
      <alignment horizontal="left" vertical="center" shrinkToFit="1"/>
    </xf>
    <xf numFmtId="0" fontId="19" fillId="0" borderId="15" xfId="2" applyFont="1" applyBorder="1" applyAlignment="1">
      <alignment horizontal="left" vertical="center" shrinkToFit="1"/>
    </xf>
    <xf numFmtId="0" fontId="19" fillId="0" borderId="29" xfId="2" applyFont="1" applyBorder="1" applyAlignment="1">
      <alignment horizontal="left" vertical="center" shrinkToFit="1"/>
    </xf>
    <xf numFmtId="0" fontId="19" fillId="0" borderId="30" xfId="2" applyFont="1" applyBorder="1" applyAlignment="1">
      <alignment horizontal="left" vertical="center" shrinkToFit="1"/>
    </xf>
    <xf numFmtId="0" fontId="19" fillId="0" borderId="31" xfId="2" applyFont="1" applyBorder="1" applyAlignment="1">
      <alignment vertical="center" shrinkToFit="1"/>
    </xf>
    <xf numFmtId="0" fontId="19" fillId="0" borderId="32" xfId="2" applyFont="1" applyBorder="1" applyAlignment="1">
      <alignment vertical="center" shrinkToFit="1"/>
    </xf>
    <xf numFmtId="0" fontId="19" fillId="0" borderId="31" xfId="2" applyFont="1" applyBorder="1" applyAlignment="1">
      <alignment vertical="top" wrapText="1"/>
    </xf>
    <xf numFmtId="0" fontId="19" fillId="0" borderId="32" xfId="2" applyFont="1" applyBorder="1" applyAlignment="1">
      <alignment vertical="top" wrapText="1"/>
    </xf>
    <xf numFmtId="0" fontId="19" fillId="0" borderId="33" xfId="2" applyFont="1" applyBorder="1" applyAlignment="1">
      <alignment horizontal="left" vertical="center" shrinkToFit="1"/>
    </xf>
    <xf numFmtId="0" fontId="19" fillId="0" borderId="31" xfId="2" applyFont="1" applyBorder="1" applyAlignment="1">
      <alignment horizontal="left" vertical="center" shrinkToFit="1"/>
    </xf>
    <xf numFmtId="0" fontId="19" fillId="0" borderId="30" xfId="2" applyFont="1" applyBorder="1" applyAlignment="1">
      <alignment vertical="center" shrinkToFit="1"/>
    </xf>
    <xf numFmtId="0" fontId="19" fillId="0" borderId="34" xfId="2" applyFont="1" applyBorder="1" applyAlignment="1">
      <alignment vertical="center" shrinkToFit="1"/>
    </xf>
    <xf numFmtId="0" fontId="19" fillId="0" borderId="30" xfId="2" applyFont="1" applyBorder="1">
      <alignment vertical="center"/>
    </xf>
    <xf numFmtId="0" fontId="19" fillId="0" borderId="0" xfId="2" applyFont="1" applyAlignment="1">
      <alignment vertical="center" shrinkToFit="1"/>
    </xf>
    <xf numFmtId="0" fontId="19" fillId="0" borderId="11" xfId="2" applyFont="1" applyBorder="1" applyAlignment="1">
      <alignment vertical="center" shrinkToFit="1"/>
    </xf>
    <xf numFmtId="0" fontId="18" fillId="0" borderId="20" xfId="2" applyFont="1" applyBorder="1" applyAlignment="1">
      <alignment horizontal="center" vertical="center"/>
    </xf>
    <xf numFmtId="0" fontId="18" fillId="0" borderId="21" xfId="2" applyFont="1" applyBorder="1" applyAlignment="1">
      <alignment horizontal="center" vertical="center"/>
    </xf>
    <xf numFmtId="0" fontId="18" fillId="0" borderId="22" xfId="2" applyFont="1" applyBorder="1" applyAlignment="1">
      <alignment horizontal="center" vertical="center"/>
    </xf>
    <xf numFmtId="0" fontId="23" fillId="2" borderId="20" xfId="2" applyFont="1" applyFill="1" applyBorder="1" applyAlignment="1">
      <alignment vertical="center" shrinkToFit="1"/>
    </xf>
    <xf numFmtId="0" fontId="23" fillId="2" borderId="22" xfId="2" applyFont="1" applyFill="1" applyBorder="1" applyAlignment="1">
      <alignment vertical="center" shrinkToFit="1"/>
    </xf>
    <xf numFmtId="0" fontId="21" fillId="0" borderId="36" xfId="2" applyFont="1" applyBorder="1" applyAlignment="1">
      <alignment horizontal="left" vertical="center" shrinkToFit="1"/>
    </xf>
    <xf numFmtId="0" fontId="21" fillId="0" borderId="35" xfId="2" applyFont="1" applyBorder="1" applyAlignment="1">
      <alignment horizontal="left" vertical="center" shrinkToFit="1"/>
    </xf>
    <xf numFmtId="0" fontId="19" fillId="4" borderId="37" xfId="2" applyFont="1" applyFill="1" applyBorder="1" applyAlignment="1">
      <alignment horizontal="center" vertical="center"/>
    </xf>
    <xf numFmtId="0" fontId="19" fillId="4" borderId="2" xfId="2" applyFont="1" applyFill="1" applyBorder="1" applyAlignment="1">
      <alignment horizontal="center" vertical="center"/>
    </xf>
    <xf numFmtId="0" fontId="19" fillId="4" borderId="5" xfId="2" applyFont="1" applyFill="1" applyBorder="1" applyAlignment="1">
      <alignment horizontal="center" vertical="center"/>
    </xf>
    <xf numFmtId="0" fontId="2" fillId="2" borderId="1" xfId="0" applyFont="1" applyFill="1" applyBorder="1" applyAlignment="1">
      <alignment horizontal="left" vertical="center"/>
    </xf>
    <xf numFmtId="0" fontId="2" fillId="2" borderId="12" xfId="0" applyFont="1" applyFill="1" applyBorder="1" applyAlignment="1">
      <alignment horizontal="left" vertical="center"/>
    </xf>
    <xf numFmtId="0" fontId="2" fillId="2" borderId="20" xfId="0" applyFont="1" applyFill="1" applyBorder="1" applyAlignment="1">
      <alignment horizontal="distributed" vertical="center"/>
    </xf>
    <xf numFmtId="0" fontId="2" fillId="2" borderId="21" xfId="0" applyFont="1" applyFill="1" applyBorder="1" applyAlignment="1">
      <alignment horizontal="distributed"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80" xfId="0" applyFont="1" applyFill="1" applyBorder="1" applyAlignment="1">
      <alignment horizontal="distributed" vertical="center"/>
    </xf>
    <xf numFmtId="0" fontId="2" fillId="2" borderId="79" xfId="0" applyFont="1" applyFill="1" applyBorder="1" applyAlignment="1">
      <alignment horizontal="distributed" vertical="center"/>
    </xf>
    <xf numFmtId="0" fontId="2" fillId="2" borderId="79" xfId="0" applyFont="1" applyFill="1" applyBorder="1" applyAlignment="1">
      <alignment horizontal="left" vertical="center"/>
    </xf>
    <xf numFmtId="0" fontId="2" fillId="2" borderId="81"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4"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3" xfId="0" applyFont="1" applyFill="1" applyBorder="1" applyAlignment="1">
      <alignment horizontal="distributed" vertical="center" wrapText="1"/>
    </xf>
    <xf numFmtId="0" fontId="2" fillId="2" borderId="14" xfId="0" applyFont="1" applyFill="1" applyBorder="1" applyAlignment="1">
      <alignment horizontal="distributed" vertical="center" wrapText="1"/>
    </xf>
    <xf numFmtId="0" fontId="2" fillId="2" borderId="1" xfId="0" applyFont="1" applyFill="1" applyBorder="1" applyAlignment="1">
      <alignment horizontal="distributed" vertical="center" wrapText="1"/>
    </xf>
    <xf numFmtId="0" fontId="2" fillId="2" borderId="15"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15"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7" fillId="2" borderId="0" xfId="0" applyFont="1" applyFill="1">
      <alignment vertical="center"/>
    </xf>
    <xf numFmtId="0" fontId="7" fillId="2" borderId="1"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20" fontId="2" fillId="2" borderId="2" xfId="0" applyNumberFormat="1" applyFont="1" applyFill="1" applyBorder="1" applyAlignment="1">
      <alignment vertical="center" wrapText="1"/>
    </xf>
    <xf numFmtId="20" fontId="2" fillId="2" borderId="5" xfId="0" applyNumberFormat="1" applyFont="1" applyFill="1" applyBorder="1" applyAlignment="1">
      <alignment vertical="center" wrapText="1"/>
    </xf>
    <xf numFmtId="0" fontId="2" fillId="2" borderId="0" xfId="0" applyFont="1" applyFill="1" applyAlignment="1">
      <alignment horizontal="right" vertical="center"/>
    </xf>
    <xf numFmtId="0" fontId="7" fillId="2" borderId="0" xfId="0" applyFont="1" applyFill="1" applyAlignment="1">
      <alignment horizontal="left" vertical="center" indent="1"/>
    </xf>
    <xf numFmtId="0" fontId="7" fillId="2" borderId="0" xfId="0" applyFont="1" applyFill="1" applyAlignment="1">
      <alignment vertical="top" wrapText="1"/>
    </xf>
    <xf numFmtId="0" fontId="25" fillId="6" borderId="20" xfId="2" applyFont="1" applyFill="1" applyBorder="1" applyAlignment="1">
      <alignment horizontal="center" vertical="center"/>
    </xf>
    <xf numFmtId="0" fontId="25" fillId="6" borderId="21" xfId="2" applyFont="1" applyFill="1" applyBorder="1" applyAlignment="1">
      <alignment horizontal="center" vertical="center"/>
    </xf>
    <xf numFmtId="0" fontId="25" fillId="6" borderId="22" xfId="2" applyFont="1" applyFill="1" applyBorder="1" applyAlignment="1">
      <alignment horizontal="center" vertical="center"/>
    </xf>
    <xf numFmtId="0" fontId="24" fillId="0" borderId="21" xfId="2" applyFont="1" applyBorder="1">
      <alignment vertical="center"/>
    </xf>
    <xf numFmtId="0" fontId="24" fillId="0" borderId="22" xfId="2" applyFont="1" applyBorder="1">
      <alignment vertical="center"/>
    </xf>
    <xf numFmtId="0" fontId="16" fillId="6" borderId="60" xfId="2" applyFill="1" applyBorder="1" applyAlignment="1">
      <alignment horizontal="center" vertical="center"/>
    </xf>
    <xf numFmtId="0" fontId="16" fillId="6" borderId="46" xfId="2" applyFill="1" applyBorder="1" applyAlignment="1">
      <alignment horizontal="center" vertical="center"/>
    </xf>
    <xf numFmtId="0" fontId="16" fillId="6" borderId="27" xfId="2" applyFill="1" applyBorder="1" applyAlignment="1">
      <alignment horizontal="center" vertical="center"/>
    </xf>
    <xf numFmtId="0" fontId="16" fillId="6" borderId="63" xfId="2" applyFill="1" applyBorder="1" applyAlignment="1">
      <alignment horizontal="center" vertical="center"/>
    </xf>
    <xf numFmtId="0" fontId="16" fillId="6" borderId="3" xfId="2" applyFill="1" applyBorder="1" applyAlignment="1">
      <alignment horizontal="center" vertical="center"/>
    </xf>
    <xf numFmtId="0" fontId="16" fillId="6" borderId="4" xfId="2" applyFill="1" applyBorder="1" applyAlignment="1">
      <alignment horizontal="center" vertical="center"/>
    </xf>
    <xf numFmtId="0" fontId="16" fillId="6" borderId="24" xfId="2" applyFill="1" applyBorder="1" applyAlignment="1">
      <alignment horizontal="center" vertical="center"/>
    </xf>
    <xf numFmtId="0" fontId="16" fillId="6" borderId="37" xfId="2" applyFill="1" applyBorder="1" applyAlignment="1">
      <alignment horizontal="center" vertical="center"/>
    </xf>
    <xf numFmtId="0" fontId="16" fillId="6" borderId="61" xfId="2" applyFill="1" applyBorder="1" applyAlignment="1">
      <alignment horizontal="center" vertical="center"/>
    </xf>
    <xf numFmtId="0" fontId="16" fillId="0" borderId="31" xfId="2" applyBorder="1" applyAlignment="1">
      <alignment vertical="center" shrinkToFit="1"/>
    </xf>
    <xf numFmtId="0" fontId="16" fillId="0" borderId="69" xfId="2" applyBorder="1" applyAlignment="1">
      <alignment vertical="center" shrinkToFit="1"/>
    </xf>
    <xf numFmtId="0" fontId="16" fillId="0" borderId="31" xfId="2" applyBorder="1">
      <alignment vertical="center"/>
    </xf>
    <xf numFmtId="0" fontId="16" fillId="6" borderId="76" xfId="2" applyFill="1" applyBorder="1" applyAlignment="1">
      <alignment horizontal="center" vertical="center"/>
    </xf>
    <xf numFmtId="0" fontId="16" fillId="6" borderId="77" xfId="2" applyFill="1" applyBorder="1" applyAlignment="1">
      <alignment horizontal="center" vertical="center"/>
    </xf>
    <xf numFmtId="0" fontId="5" fillId="2" borderId="2" xfId="0" applyFont="1" applyFill="1" applyBorder="1" applyAlignment="1">
      <alignment vertical="center" shrinkToFit="1"/>
    </xf>
    <xf numFmtId="0" fontId="7" fillId="2" borderId="1" xfId="0" applyFont="1" applyFill="1" applyBorder="1">
      <alignment vertical="center"/>
    </xf>
    <xf numFmtId="0" fontId="7" fillId="2" borderId="0" xfId="0" applyFont="1" applyFill="1" applyAlignment="1">
      <alignment horizontal="distributed" vertical="center" wrapText="1"/>
    </xf>
    <xf numFmtId="0" fontId="7" fillId="2" borderId="0" xfId="0" applyFont="1" applyFill="1" applyAlignment="1">
      <alignment horizontal="distributed" vertical="center"/>
    </xf>
    <xf numFmtId="0" fontId="7" fillId="2" borderId="0" xfId="0" applyFont="1" applyFill="1" applyAlignment="1">
      <alignment horizontal="center" vertical="center"/>
    </xf>
    <xf numFmtId="0" fontId="7" fillId="2" borderId="2" xfId="0" applyFont="1" applyFill="1" applyBorder="1">
      <alignment vertical="center"/>
    </xf>
    <xf numFmtId="0" fontId="5" fillId="2" borderId="15" xfId="0" applyFont="1" applyFill="1" applyBorder="1">
      <alignment vertical="center"/>
    </xf>
    <xf numFmtId="0" fontId="5" fillId="2" borderId="10" xfId="0" applyFont="1" applyFill="1" applyBorder="1">
      <alignment vertical="center"/>
    </xf>
    <xf numFmtId="0" fontId="5" fillId="2" borderId="2" xfId="0" applyFont="1" applyFill="1" applyBorder="1">
      <alignment vertical="center"/>
    </xf>
    <xf numFmtId="0" fontId="5" fillId="2" borderId="5" xfId="0" applyFont="1" applyFill="1" applyBorder="1">
      <alignment vertical="center"/>
    </xf>
    <xf numFmtId="0" fontId="5" fillId="2" borderId="15" xfId="0" applyFont="1" applyFill="1" applyBorder="1" applyAlignment="1">
      <alignment vertical="center" shrinkToFit="1"/>
    </xf>
    <xf numFmtId="0" fontId="5" fillId="2" borderId="10" xfId="0" applyFont="1" applyFill="1" applyBorder="1" applyAlignment="1">
      <alignment vertical="center" shrinkToFit="1"/>
    </xf>
    <xf numFmtId="0" fontId="5" fillId="2" borderId="1" xfId="0" applyFont="1" applyFill="1" applyBorder="1" applyAlignment="1">
      <alignment vertical="center" shrinkToFit="1"/>
    </xf>
    <xf numFmtId="0" fontId="5" fillId="2" borderId="12" xfId="0" applyFont="1" applyFill="1" applyBorder="1" applyAlignment="1">
      <alignment vertical="center" shrinkToFit="1"/>
    </xf>
    <xf numFmtId="0" fontId="5" fillId="2" borderId="15" xfId="0" applyFont="1" applyFill="1" applyBorder="1" applyAlignment="1">
      <alignment vertical="center" wrapText="1" shrinkToFit="1"/>
    </xf>
    <xf numFmtId="0" fontId="5" fillId="2" borderId="10" xfId="0" applyFont="1" applyFill="1" applyBorder="1" applyAlignment="1">
      <alignment vertical="center" wrapText="1" shrinkToFit="1"/>
    </xf>
    <xf numFmtId="0" fontId="5" fillId="2" borderId="1" xfId="0" applyFont="1" applyFill="1" applyBorder="1" applyAlignment="1">
      <alignment vertical="center" wrapText="1" shrinkToFit="1"/>
    </xf>
    <xf numFmtId="0" fontId="5" fillId="2" borderId="12" xfId="0" applyFont="1" applyFill="1" applyBorder="1" applyAlignment="1">
      <alignment vertical="center" wrapText="1" shrinkToFit="1"/>
    </xf>
    <xf numFmtId="0" fontId="34" fillId="2" borderId="0" xfId="0" applyFont="1" applyFill="1" applyAlignment="1">
      <alignment vertical="center" wrapText="1"/>
    </xf>
    <xf numFmtId="0" fontId="34" fillId="2" borderId="1" xfId="0" applyFont="1" applyFill="1" applyBorder="1" applyAlignment="1">
      <alignment vertical="center" wrapText="1"/>
    </xf>
    <xf numFmtId="0" fontId="7" fillId="2" borderId="0" xfId="0" applyFont="1" applyFill="1" applyAlignment="1">
      <alignment vertical="center" wrapText="1"/>
    </xf>
    <xf numFmtId="0" fontId="7" fillId="2" borderId="1" xfId="0" applyFont="1" applyFill="1" applyBorder="1" applyAlignment="1">
      <alignment vertical="center" wrapText="1"/>
    </xf>
    <xf numFmtId="0" fontId="7" fillId="2" borderId="0" xfId="0" applyFont="1" applyFill="1" applyAlignment="1">
      <alignment horizontal="right" vertical="center"/>
    </xf>
    <xf numFmtId="182" fontId="7" fillId="2" borderId="1" xfId="0" applyNumberFormat="1" applyFont="1" applyFill="1" applyBorder="1" applyAlignment="1">
      <alignment horizontal="distributed" vertical="center"/>
    </xf>
    <xf numFmtId="0" fontId="5" fillId="2" borderId="5" xfId="0" applyFont="1" applyFill="1" applyBorder="1" applyAlignment="1">
      <alignment vertical="center" shrinkToFit="1"/>
    </xf>
    <xf numFmtId="0" fontId="5" fillId="2" borderId="21" xfId="0" applyFont="1" applyFill="1" applyBorder="1">
      <alignment vertical="center"/>
    </xf>
    <xf numFmtId="0" fontId="5" fillId="2" borderId="22" xfId="0" applyFont="1" applyFill="1" applyBorder="1">
      <alignment vertical="center"/>
    </xf>
    <xf numFmtId="0" fontId="5" fillId="2" borderId="0" xfId="0" applyFont="1" applyFill="1">
      <alignment vertical="center"/>
    </xf>
    <xf numFmtId="0" fontId="5" fillId="2" borderId="11" xfId="0" applyFont="1" applyFill="1" applyBorder="1">
      <alignment vertical="center"/>
    </xf>
    <xf numFmtId="0" fontId="25" fillId="0" borderId="21" xfId="2" applyFont="1" applyBorder="1" applyAlignment="1">
      <alignment vertical="center" shrinkToFit="1"/>
    </xf>
    <xf numFmtId="0" fontId="25" fillId="0" borderId="22" xfId="2" applyFont="1" applyBorder="1" applyAlignment="1">
      <alignment vertical="center" shrinkToFit="1"/>
    </xf>
    <xf numFmtId="0" fontId="19" fillId="0" borderId="0" xfId="2" applyFont="1">
      <alignment vertical="center"/>
    </xf>
    <xf numFmtId="0" fontId="19" fillId="0" borderId="11" xfId="2" applyFont="1" applyBorder="1">
      <alignment vertical="center"/>
    </xf>
    <xf numFmtId="0" fontId="19" fillId="0" borderId="31" xfId="2" applyFont="1" applyBorder="1">
      <alignment vertical="center"/>
    </xf>
    <xf numFmtId="0" fontId="19" fillId="0" borderId="32" xfId="2" applyFont="1" applyBorder="1">
      <alignment vertical="center"/>
    </xf>
    <xf numFmtId="0" fontId="19" fillId="0" borderId="27" xfId="2" applyFont="1" applyBorder="1" applyAlignment="1">
      <alignment horizontal="center" vertical="center"/>
    </xf>
    <xf numFmtId="0" fontId="19" fillId="0" borderId="26" xfId="2" applyFont="1" applyBorder="1" applyAlignment="1">
      <alignment horizontal="center" vertical="center"/>
    </xf>
    <xf numFmtId="0" fontId="19" fillId="0" borderId="4" xfId="2" applyFont="1" applyBorder="1" applyAlignment="1">
      <alignment horizontal="center" vertical="center"/>
    </xf>
    <xf numFmtId="0" fontId="19" fillId="0" borderId="5" xfId="2" applyFont="1" applyBorder="1" applyAlignment="1">
      <alignment horizontal="center" vertical="center"/>
    </xf>
    <xf numFmtId="0" fontId="19" fillId="0" borderId="24" xfId="2" applyFont="1" applyBorder="1" applyAlignment="1">
      <alignment horizontal="center" vertical="center"/>
    </xf>
    <xf numFmtId="0" fontId="19" fillId="0" borderId="25" xfId="2" applyFont="1" applyBorder="1" applyAlignment="1">
      <alignment horizontal="center" vertical="center"/>
    </xf>
    <xf numFmtId="0" fontId="29" fillId="0" borderId="30" xfId="2" applyFont="1" applyBorder="1">
      <alignment vertical="center"/>
    </xf>
    <xf numFmtId="0" fontId="29" fillId="0" borderId="34" xfId="2" applyFont="1" applyBorder="1">
      <alignment vertical="center"/>
    </xf>
    <xf numFmtId="0" fontId="19" fillId="0" borderId="37" xfId="2" applyFont="1" applyBorder="1" applyAlignment="1">
      <alignment horizontal="center" vertical="center"/>
    </xf>
    <xf numFmtId="0" fontId="19" fillId="0" borderId="2" xfId="2" applyFont="1" applyBorder="1" applyAlignment="1">
      <alignment horizontal="center" vertical="center"/>
    </xf>
    <xf numFmtId="179" fontId="19" fillId="0" borderId="33" xfId="2" applyNumberFormat="1" applyFont="1" applyBorder="1" applyAlignment="1">
      <alignment vertical="center" shrinkToFit="1"/>
    </xf>
    <xf numFmtId="179" fontId="19" fillId="0" borderId="32" xfId="2" applyNumberFormat="1" applyFont="1" applyBorder="1" applyAlignment="1">
      <alignment vertical="center" shrinkToFit="1"/>
    </xf>
    <xf numFmtId="179" fontId="19" fillId="0" borderId="9" xfId="2" applyNumberFormat="1" applyFont="1" applyBorder="1" applyAlignment="1">
      <alignment vertical="center" shrinkToFit="1"/>
    </xf>
    <xf numFmtId="179" fontId="19" fillId="0" borderId="11" xfId="2" applyNumberFormat="1" applyFont="1" applyBorder="1" applyAlignment="1">
      <alignment vertical="center" shrinkToFit="1"/>
    </xf>
    <xf numFmtId="179" fontId="19" fillId="0" borderId="29" xfId="2" applyNumberFormat="1" applyFont="1" applyBorder="1" applyAlignment="1">
      <alignment vertical="center" shrinkToFit="1"/>
    </xf>
    <xf numFmtId="179" fontId="19" fillId="0" borderId="34" xfId="2" applyNumberFormat="1" applyFont="1" applyBorder="1" applyAlignment="1">
      <alignment vertical="center" shrinkToFit="1"/>
    </xf>
    <xf numFmtId="179" fontId="23" fillId="0" borderId="33" xfId="3" applyNumberFormat="1" applyFont="1" applyBorder="1" applyAlignment="1">
      <alignment vertical="center" shrinkToFit="1"/>
    </xf>
    <xf numFmtId="179" fontId="23" fillId="0" borderId="32" xfId="3" applyNumberFormat="1" applyFont="1" applyBorder="1" applyAlignment="1">
      <alignment vertical="center" shrinkToFit="1"/>
    </xf>
    <xf numFmtId="179" fontId="23" fillId="0" borderId="9" xfId="3" applyNumberFormat="1" applyFont="1" applyBorder="1" applyAlignment="1">
      <alignment vertical="center" shrinkToFit="1"/>
    </xf>
    <xf numFmtId="179" fontId="23" fillId="0" borderId="11" xfId="3" applyNumberFormat="1" applyFont="1" applyBorder="1" applyAlignment="1">
      <alignment vertical="center" shrinkToFit="1"/>
    </xf>
    <xf numFmtId="179" fontId="19" fillId="0" borderId="29" xfId="3" applyNumberFormat="1" applyFont="1" applyBorder="1" applyAlignment="1">
      <alignment vertical="center"/>
    </xf>
    <xf numFmtId="179" fontId="19" fillId="0" borderId="34" xfId="3" applyNumberFormat="1" applyFont="1" applyBorder="1" applyAlignment="1">
      <alignment vertical="center"/>
    </xf>
    <xf numFmtId="179" fontId="19" fillId="0" borderId="40" xfId="3" applyNumberFormat="1" applyFont="1" applyFill="1" applyBorder="1" applyAlignment="1">
      <alignment vertical="center"/>
    </xf>
    <xf numFmtId="179" fontId="19" fillId="0" borderId="41" xfId="3" applyNumberFormat="1" applyFont="1" applyFill="1" applyBorder="1" applyAlignment="1">
      <alignment vertical="center"/>
    </xf>
    <xf numFmtId="179" fontId="22" fillId="0" borderId="33" xfId="3" applyNumberFormat="1" applyFont="1" applyBorder="1" applyAlignment="1">
      <alignment vertical="center"/>
    </xf>
    <xf numFmtId="179" fontId="22" fillId="0" borderId="32" xfId="3" applyNumberFormat="1" applyFont="1" applyBorder="1" applyAlignment="1">
      <alignment vertical="center"/>
    </xf>
    <xf numFmtId="179" fontId="23" fillId="0" borderId="14" xfId="3" applyNumberFormat="1" applyFont="1" applyBorder="1" applyAlignment="1">
      <alignment vertical="center" shrinkToFit="1"/>
    </xf>
    <xf numFmtId="179" fontId="23" fillId="0" borderId="12" xfId="3" applyNumberFormat="1" applyFont="1" applyBorder="1" applyAlignment="1">
      <alignment vertical="center" shrinkToFit="1"/>
    </xf>
    <xf numFmtId="0" fontId="19" fillId="0" borderId="13" xfId="2" applyFont="1" applyBorder="1" applyAlignment="1">
      <alignment vertical="center" shrinkToFit="1"/>
    </xf>
    <xf numFmtId="0" fontId="19" fillId="0" borderId="10" xfId="2" applyFont="1" applyBorder="1" applyAlignment="1">
      <alignment vertical="center" shrinkToFit="1"/>
    </xf>
    <xf numFmtId="0" fontId="19" fillId="0" borderId="14" xfId="2" applyFont="1" applyBorder="1" applyAlignment="1">
      <alignment vertical="center" shrinkToFit="1"/>
    </xf>
    <xf numFmtId="0" fontId="19" fillId="0" borderId="12" xfId="2" applyFont="1" applyBorder="1" applyAlignment="1">
      <alignment vertical="center" shrinkToFit="1"/>
    </xf>
    <xf numFmtId="38" fontId="19" fillId="0" borderId="33" xfId="2" applyNumberFormat="1" applyFont="1" applyBorder="1" applyAlignment="1">
      <alignment vertical="center" shrinkToFit="1"/>
    </xf>
    <xf numFmtId="38" fontId="19" fillId="0" borderId="32" xfId="2" applyNumberFormat="1" applyFont="1" applyBorder="1" applyAlignment="1">
      <alignment vertical="center" shrinkToFit="1"/>
    </xf>
    <xf numFmtId="0" fontId="19" fillId="0" borderId="29" xfId="2" applyFont="1" applyBorder="1" applyAlignment="1">
      <alignment horizontal="center" vertical="center" shrinkToFit="1"/>
    </xf>
    <xf numFmtId="0" fontId="19" fillId="0" borderId="34" xfId="2" applyFont="1" applyBorder="1" applyAlignment="1">
      <alignment horizontal="center" vertical="center" shrinkToFit="1"/>
    </xf>
    <xf numFmtId="38" fontId="19" fillId="0" borderId="29" xfId="2" applyNumberFormat="1" applyFont="1" applyBorder="1" applyAlignment="1">
      <alignment vertical="center" shrinkToFit="1"/>
    </xf>
    <xf numFmtId="38" fontId="19" fillId="0" borderId="34" xfId="2" applyNumberFormat="1" applyFont="1" applyBorder="1" applyAlignment="1">
      <alignment vertical="center" shrinkToFit="1"/>
    </xf>
    <xf numFmtId="38" fontId="19" fillId="0" borderId="36" xfId="2" applyNumberFormat="1" applyFont="1" applyBorder="1" applyAlignment="1">
      <alignment horizontal="center" vertical="center" shrinkToFit="1"/>
    </xf>
    <xf numFmtId="38" fontId="19" fillId="0" borderId="59" xfId="2" applyNumberFormat="1" applyFont="1" applyBorder="1" applyAlignment="1">
      <alignment horizontal="center" vertical="center" shrinkToFit="1"/>
    </xf>
    <xf numFmtId="0" fontId="7" fillId="2" borderId="9" xfId="0" applyFont="1" applyFill="1" applyBorder="1" applyAlignment="1">
      <alignment vertical="center" shrinkToFit="1"/>
    </xf>
    <xf numFmtId="0" fontId="7" fillId="2" borderId="11" xfId="0" applyFont="1" applyFill="1" applyBorder="1" applyAlignment="1">
      <alignment vertical="center" shrinkToFit="1"/>
    </xf>
  </cellXfs>
  <cellStyles count="4">
    <cellStyle name="ハイパーリンク" xfId="1" builtinId="8"/>
    <cellStyle name="桁区切り 2" xfId="3" xr:uid="{00000000-0005-0000-0000-000001000000}"/>
    <cellStyle name="標準" xfId="0" builtinId="0"/>
    <cellStyle name="標準 2" xfId="2" xr:uid="{00000000-0005-0000-0000-000003000000}"/>
  </cellStyles>
  <dxfs count="97">
    <dxf>
      <font>
        <color rgb="FFFF0000"/>
      </font>
      <fill>
        <patternFill>
          <bgColor rgb="FFFFFF00"/>
        </patternFill>
      </fill>
    </dxf>
    <dxf>
      <font>
        <color rgb="FFFF0000"/>
      </font>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numFmt numFmtId="3" formatCode="#,##0"/>
    </dxf>
    <dxf>
      <numFmt numFmtId="3" formatCode="#,##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font>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68580</xdr:colOff>
      <xdr:row>0</xdr:row>
      <xdr:rowOff>45720</xdr:rowOff>
    </xdr:from>
    <xdr:to>
      <xdr:col>6</xdr:col>
      <xdr:colOff>274320</xdr:colOff>
      <xdr:row>3</xdr:row>
      <xdr:rowOff>106680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3040380" y="45720"/>
          <a:ext cx="571500" cy="56388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editAs="oneCell">
    <xdr:from>
      <xdr:col>8</xdr:col>
      <xdr:colOff>266700</xdr:colOff>
      <xdr:row>0</xdr:row>
      <xdr:rowOff>76200</xdr:rowOff>
    </xdr:from>
    <xdr:to>
      <xdr:col>9</xdr:col>
      <xdr:colOff>171450</xdr:colOff>
      <xdr:row>4</xdr:row>
      <xdr:rowOff>95250</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7260" y="76200"/>
          <a:ext cx="209550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2" name="楕円 1">
          <a:extLst>
            <a:ext uri="{FF2B5EF4-FFF2-40B4-BE49-F238E27FC236}">
              <a16:creationId xmlns:a16="http://schemas.microsoft.com/office/drawing/2014/main" id="{00000000-0008-0000-0D00-000002000000}"/>
            </a:ext>
          </a:extLst>
        </xdr:cNvPr>
        <xdr:cNvSpPr>
          <a:spLocks noChangeArrowheads="1"/>
        </xdr:cNvSpPr>
      </xdr:nvSpPr>
      <xdr:spPr bwMode="auto">
        <a:xfrm>
          <a:off x="16764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3" name="楕円 2">
          <a:extLst>
            <a:ext uri="{FF2B5EF4-FFF2-40B4-BE49-F238E27FC236}">
              <a16:creationId xmlns:a16="http://schemas.microsoft.com/office/drawing/2014/main" id="{00000000-0008-0000-0D00-000003000000}"/>
            </a:ext>
          </a:extLst>
        </xdr:cNvPr>
        <xdr:cNvSpPr>
          <a:spLocks noChangeArrowheads="1"/>
        </xdr:cNvSpPr>
      </xdr:nvSpPr>
      <xdr:spPr bwMode="auto">
        <a:xfrm>
          <a:off x="64770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4" name="楕円 3">
          <a:extLst>
            <a:ext uri="{FF2B5EF4-FFF2-40B4-BE49-F238E27FC236}">
              <a16:creationId xmlns:a16="http://schemas.microsoft.com/office/drawing/2014/main" id="{00000000-0008-0000-0D00-000004000000}"/>
            </a:ext>
          </a:extLst>
        </xdr:cNvPr>
        <xdr:cNvSpPr>
          <a:spLocks noChangeArrowheads="1"/>
        </xdr:cNvSpPr>
      </xdr:nvSpPr>
      <xdr:spPr bwMode="auto">
        <a:xfrm>
          <a:off x="1127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5" name="楕円 4">
          <a:extLst>
            <a:ext uri="{FF2B5EF4-FFF2-40B4-BE49-F238E27FC236}">
              <a16:creationId xmlns:a16="http://schemas.microsoft.com/office/drawing/2014/main" id="{00000000-0008-0000-0D00-000005000000}"/>
            </a:ext>
          </a:extLst>
        </xdr:cNvPr>
        <xdr:cNvSpPr>
          <a:spLocks noChangeArrowheads="1"/>
        </xdr:cNvSpPr>
      </xdr:nvSpPr>
      <xdr:spPr bwMode="auto">
        <a:xfrm>
          <a:off x="16078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6" name="楕円 5">
          <a:extLst>
            <a:ext uri="{FF2B5EF4-FFF2-40B4-BE49-F238E27FC236}">
              <a16:creationId xmlns:a16="http://schemas.microsoft.com/office/drawing/2014/main" id="{00000000-0008-0000-0D00-000006000000}"/>
            </a:ext>
          </a:extLst>
        </xdr:cNvPr>
        <xdr:cNvSpPr>
          <a:spLocks noChangeArrowheads="1"/>
        </xdr:cNvSpPr>
      </xdr:nvSpPr>
      <xdr:spPr bwMode="auto">
        <a:xfrm>
          <a:off x="208788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7" name="楕円 6">
          <a:extLst>
            <a:ext uri="{FF2B5EF4-FFF2-40B4-BE49-F238E27FC236}">
              <a16:creationId xmlns:a16="http://schemas.microsoft.com/office/drawing/2014/main" id="{00000000-0008-0000-0D00-000007000000}"/>
            </a:ext>
          </a:extLst>
        </xdr:cNvPr>
        <xdr:cNvSpPr>
          <a:spLocks noChangeArrowheads="1"/>
        </xdr:cNvSpPr>
      </xdr:nvSpPr>
      <xdr:spPr bwMode="auto">
        <a:xfrm>
          <a:off x="25603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8" name="楕円 7">
          <a:extLst>
            <a:ext uri="{FF2B5EF4-FFF2-40B4-BE49-F238E27FC236}">
              <a16:creationId xmlns:a16="http://schemas.microsoft.com/office/drawing/2014/main" id="{00000000-0008-0000-0D00-000008000000}"/>
            </a:ext>
          </a:extLst>
        </xdr:cNvPr>
        <xdr:cNvSpPr>
          <a:spLocks noChangeArrowheads="1"/>
        </xdr:cNvSpPr>
      </xdr:nvSpPr>
      <xdr:spPr bwMode="auto">
        <a:xfrm>
          <a:off x="3032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9" name="楕円 8">
          <a:extLst>
            <a:ext uri="{FF2B5EF4-FFF2-40B4-BE49-F238E27FC236}">
              <a16:creationId xmlns:a16="http://schemas.microsoft.com/office/drawing/2014/main" id="{00000000-0008-0000-0D00-000009000000}"/>
            </a:ext>
          </a:extLst>
        </xdr:cNvPr>
        <xdr:cNvSpPr>
          <a:spLocks noChangeArrowheads="1"/>
        </xdr:cNvSpPr>
      </xdr:nvSpPr>
      <xdr:spPr bwMode="auto">
        <a:xfrm>
          <a:off x="35280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0" name="楕円 9">
          <a:extLst>
            <a:ext uri="{FF2B5EF4-FFF2-40B4-BE49-F238E27FC236}">
              <a16:creationId xmlns:a16="http://schemas.microsoft.com/office/drawing/2014/main" id="{00000000-0008-0000-0D00-00000A000000}"/>
            </a:ext>
          </a:extLst>
        </xdr:cNvPr>
        <xdr:cNvSpPr>
          <a:spLocks noChangeArrowheads="1"/>
        </xdr:cNvSpPr>
      </xdr:nvSpPr>
      <xdr:spPr bwMode="auto">
        <a:xfrm>
          <a:off x="40233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1" name="楕円 10">
          <a:extLst>
            <a:ext uri="{FF2B5EF4-FFF2-40B4-BE49-F238E27FC236}">
              <a16:creationId xmlns:a16="http://schemas.microsoft.com/office/drawing/2014/main" id="{00000000-0008-0000-0D00-00000B000000}"/>
            </a:ext>
          </a:extLst>
        </xdr:cNvPr>
        <xdr:cNvSpPr>
          <a:spLocks noChangeArrowheads="1"/>
        </xdr:cNvSpPr>
      </xdr:nvSpPr>
      <xdr:spPr bwMode="auto">
        <a:xfrm>
          <a:off x="45186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12" name="楕円 11">
          <a:extLst>
            <a:ext uri="{FF2B5EF4-FFF2-40B4-BE49-F238E27FC236}">
              <a16:creationId xmlns:a16="http://schemas.microsoft.com/office/drawing/2014/main" id="{00000000-0008-0000-0D00-00000C000000}"/>
            </a:ext>
          </a:extLst>
        </xdr:cNvPr>
        <xdr:cNvSpPr>
          <a:spLocks noChangeArrowheads="1"/>
        </xdr:cNvSpPr>
      </xdr:nvSpPr>
      <xdr:spPr bwMode="auto">
        <a:xfrm>
          <a:off x="50139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685800</xdr:colOff>
      <xdr:row>0</xdr:row>
      <xdr:rowOff>28575</xdr:rowOff>
    </xdr:from>
    <xdr:to>
      <xdr:col>6</xdr:col>
      <xdr:colOff>266700</xdr:colOff>
      <xdr:row>3</xdr:row>
      <xdr:rowOff>81915</xdr:rowOff>
    </xdr:to>
    <xdr:sp macro="" textlink="">
      <xdr:nvSpPr>
        <xdr:cNvPr id="2" name="楕円 1">
          <a:extLst>
            <a:ext uri="{FF2B5EF4-FFF2-40B4-BE49-F238E27FC236}">
              <a16:creationId xmlns:a16="http://schemas.microsoft.com/office/drawing/2014/main" id="{61CBCC2D-78AD-48B9-A432-DE9D15649B18}"/>
            </a:ext>
          </a:extLst>
        </xdr:cNvPr>
        <xdr:cNvSpPr/>
      </xdr:nvSpPr>
      <xdr:spPr>
        <a:xfrm>
          <a:off x="3162300" y="26670"/>
          <a:ext cx="571500" cy="5715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xdr:row>
      <xdr:rowOff>30480</xdr:rowOff>
    </xdr:from>
    <xdr:to>
      <xdr:col>11</xdr:col>
      <xdr:colOff>625475</xdr:colOff>
      <xdr:row>2</xdr:row>
      <xdr:rowOff>129540</xdr:rowOff>
    </xdr:to>
    <xdr:sp macro="" textlink="">
      <xdr:nvSpPr>
        <xdr:cNvPr id="9" name="AutoShape 15">
          <a:extLst>
            <a:ext uri="{FF2B5EF4-FFF2-40B4-BE49-F238E27FC236}">
              <a16:creationId xmlns:a16="http://schemas.microsoft.com/office/drawing/2014/main" id="{00000000-0008-0000-0300-000009000000}"/>
            </a:ext>
          </a:extLst>
        </xdr:cNvPr>
        <xdr:cNvSpPr>
          <a:spLocks noChangeArrowheads="1"/>
        </xdr:cNvSpPr>
      </xdr:nvSpPr>
      <xdr:spPr bwMode="auto">
        <a:xfrm>
          <a:off x="5394960" y="198120"/>
          <a:ext cx="1166495" cy="26670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ctr">
            <a:spcAft>
              <a:spcPts val="0"/>
            </a:spcAft>
          </a:pPr>
          <a:r>
            <a:rPr lang="ja-JP" sz="1400" kern="100">
              <a:effectLst/>
              <a:latin typeface="Century" panose="02040604050505020304" pitchFamily="18" charset="0"/>
              <a:ea typeface="ＭＳ ゴシック" panose="020B0609070205080204" pitchFamily="49" charset="-128"/>
              <a:cs typeface="Times New Roman" panose="02020603050405020304" pitchFamily="18" charset="0"/>
            </a:rPr>
            <a:t>Ｃ・Ｄ区分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7620</xdr:colOff>
      <xdr:row>0</xdr:row>
      <xdr:rowOff>53340</xdr:rowOff>
    </xdr:from>
    <xdr:to>
      <xdr:col>1</xdr:col>
      <xdr:colOff>85725</xdr:colOff>
      <xdr:row>2</xdr:row>
      <xdr:rowOff>99060</xdr:rowOff>
    </xdr:to>
    <xdr:sp macro="" textlink="">
      <xdr:nvSpPr>
        <xdr:cNvPr id="10" name="楕円 9">
          <a:extLst>
            <a:ext uri="{FF2B5EF4-FFF2-40B4-BE49-F238E27FC236}">
              <a16:creationId xmlns:a16="http://schemas.microsoft.com/office/drawing/2014/main" id="{00000000-0008-0000-0300-00000A000000}"/>
            </a:ext>
          </a:extLst>
        </xdr:cNvPr>
        <xdr:cNvSpPr>
          <a:spLocks noChangeArrowheads="1"/>
        </xdr:cNvSpPr>
      </xdr:nvSpPr>
      <xdr:spPr bwMode="auto">
        <a:xfrm>
          <a:off x="762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119380</xdr:colOff>
      <xdr:row>0</xdr:row>
      <xdr:rowOff>53340</xdr:rowOff>
    </xdr:from>
    <xdr:to>
      <xdr:col>1</xdr:col>
      <xdr:colOff>548005</xdr:colOff>
      <xdr:row>2</xdr:row>
      <xdr:rowOff>99060</xdr:rowOff>
    </xdr:to>
    <xdr:sp macro="" textlink="">
      <xdr:nvSpPr>
        <xdr:cNvPr id="22" name="楕円 21">
          <a:extLst>
            <a:ext uri="{FF2B5EF4-FFF2-40B4-BE49-F238E27FC236}">
              <a16:creationId xmlns:a16="http://schemas.microsoft.com/office/drawing/2014/main" id="{00000000-0008-0000-0300-000016000000}"/>
            </a:ext>
          </a:extLst>
        </xdr:cNvPr>
        <xdr:cNvSpPr>
          <a:spLocks noChangeArrowheads="1"/>
        </xdr:cNvSpPr>
      </xdr:nvSpPr>
      <xdr:spPr bwMode="auto">
        <a:xfrm>
          <a:off x="46990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581660</xdr:colOff>
      <xdr:row>0</xdr:row>
      <xdr:rowOff>53340</xdr:rowOff>
    </xdr:from>
    <xdr:to>
      <xdr:col>2</xdr:col>
      <xdr:colOff>278765</xdr:colOff>
      <xdr:row>2</xdr:row>
      <xdr:rowOff>99060</xdr:rowOff>
    </xdr:to>
    <xdr:sp macro="" textlink="">
      <xdr:nvSpPr>
        <xdr:cNvPr id="23" name="楕円 22">
          <a:extLst>
            <a:ext uri="{FF2B5EF4-FFF2-40B4-BE49-F238E27FC236}">
              <a16:creationId xmlns:a16="http://schemas.microsoft.com/office/drawing/2014/main" id="{00000000-0008-0000-0300-000017000000}"/>
            </a:ext>
          </a:extLst>
        </xdr:cNvPr>
        <xdr:cNvSpPr>
          <a:spLocks noChangeArrowheads="1"/>
        </xdr:cNvSpPr>
      </xdr:nvSpPr>
      <xdr:spPr bwMode="auto">
        <a:xfrm>
          <a:off x="93218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312420</xdr:colOff>
      <xdr:row>0</xdr:row>
      <xdr:rowOff>53340</xdr:rowOff>
    </xdr:from>
    <xdr:to>
      <xdr:col>3</xdr:col>
      <xdr:colOff>78105</xdr:colOff>
      <xdr:row>2</xdr:row>
      <xdr:rowOff>99060</xdr:rowOff>
    </xdr:to>
    <xdr:sp macro="" textlink="">
      <xdr:nvSpPr>
        <xdr:cNvPr id="24" name="楕円 23">
          <a:extLst>
            <a:ext uri="{FF2B5EF4-FFF2-40B4-BE49-F238E27FC236}">
              <a16:creationId xmlns:a16="http://schemas.microsoft.com/office/drawing/2014/main" id="{00000000-0008-0000-0300-000018000000}"/>
            </a:ext>
          </a:extLst>
        </xdr:cNvPr>
        <xdr:cNvSpPr>
          <a:spLocks noChangeArrowheads="1"/>
        </xdr:cNvSpPr>
      </xdr:nvSpPr>
      <xdr:spPr bwMode="auto">
        <a:xfrm>
          <a:off x="139446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111760</xdr:colOff>
      <xdr:row>0</xdr:row>
      <xdr:rowOff>53340</xdr:rowOff>
    </xdr:from>
    <xdr:to>
      <xdr:col>3</xdr:col>
      <xdr:colOff>540385</xdr:colOff>
      <xdr:row>2</xdr:row>
      <xdr:rowOff>99060</xdr:rowOff>
    </xdr:to>
    <xdr:sp macro="" textlink="">
      <xdr:nvSpPr>
        <xdr:cNvPr id="25" name="楕円 24">
          <a:extLst>
            <a:ext uri="{FF2B5EF4-FFF2-40B4-BE49-F238E27FC236}">
              <a16:creationId xmlns:a16="http://schemas.microsoft.com/office/drawing/2014/main" id="{00000000-0008-0000-0300-000019000000}"/>
            </a:ext>
          </a:extLst>
        </xdr:cNvPr>
        <xdr:cNvSpPr>
          <a:spLocks noChangeArrowheads="1"/>
        </xdr:cNvSpPr>
      </xdr:nvSpPr>
      <xdr:spPr bwMode="auto">
        <a:xfrm>
          <a:off x="185674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574040</xdr:colOff>
      <xdr:row>0</xdr:row>
      <xdr:rowOff>53340</xdr:rowOff>
    </xdr:from>
    <xdr:to>
      <xdr:col>4</xdr:col>
      <xdr:colOff>415925</xdr:colOff>
      <xdr:row>2</xdr:row>
      <xdr:rowOff>99060</xdr:rowOff>
    </xdr:to>
    <xdr:sp macro="" textlink="">
      <xdr:nvSpPr>
        <xdr:cNvPr id="26" name="楕円 25">
          <a:extLst>
            <a:ext uri="{FF2B5EF4-FFF2-40B4-BE49-F238E27FC236}">
              <a16:creationId xmlns:a16="http://schemas.microsoft.com/office/drawing/2014/main" id="{00000000-0008-0000-0300-00001A000000}"/>
            </a:ext>
          </a:extLst>
        </xdr:cNvPr>
        <xdr:cNvSpPr>
          <a:spLocks noChangeArrowheads="1"/>
        </xdr:cNvSpPr>
      </xdr:nvSpPr>
      <xdr:spPr bwMode="auto">
        <a:xfrm>
          <a:off x="231902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449580</xdr:colOff>
      <xdr:row>0</xdr:row>
      <xdr:rowOff>53340</xdr:rowOff>
    </xdr:from>
    <xdr:to>
      <xdr:col>5</xdr:col>
      <xdr:colOff>253365</xdr:colOff>
      <xdr:row>2</xdr:row>
      <xdr:rowOff>99060</xdr:rowOff>
    </xdr:to>
    <xdr:sp macro="" textlink="">
      <xdr:nvSpPr>
        <xdr:cNvPr id="27" name="楕円 26">
          <a:extLst>
            <a:ext uri="{FF2B5EF4-FFF2-40B4-BE49-F238E27FC236}">
              <a16:creationId xmlns:a16="http://schemas.microsoft.com/office/drawing/2014/main" id="{00000000-0008-0000-0300-00001B000000}"/>
            </a:ext>
          </a:extLst>
        </xdr:cNvPr>
        <xdr:cNvSpPr>
          <a:spLocks noChangeArrowheads="1"/>
        </xdr:cNvSpPr>
      </xdr:nvSpPr>
      <xdr:spPr bwMode="auto">
        <a:xfrm>
          <a:off x="278130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601980</xdr:colOff>
      <xdr:row>0</xdr:row>
      <xdr:rowOff>30480</xdr:rowOff>
    </xdr:from>
    <xdr:to>
      <xdr:col>7</xdr:col>
      <xdr:colOff>154305</xdr:colOff>
      <xdr:row>3</xdr:row>
      <xdr:rowOff>125730</xdr:rowOff>
    </xdr:to>
    <xdr:sp macro="" textlink="">
      <xdr:nvSpPr>
        <xdr:cNvPr id="83" name="Oval 1">
          <a:extLst>
            <a:ext uri="{FF2B5EF4-FFF2-40B4-BE49-F238E27FC236}">
              <a16:creationId xmlns:a16="http://schemas.microsoft.com/office/drawing/2014/main" id="{00000000-0008-0000-0400-000053000000}"/>
            </a:ext>
          </a:extLst>
        </xdr:cNvPr>
        <xdr:cNvSpPr>
          <a:spLocks noChangeArrowheads="1"/>
        </xdr:cNvSpPr>
      </xdr:nvSpPr>
      <xdr:spPr bwMode="auto">
        <a:xfrm>
          <a:off x="3680460" y="30480"/>
          <a:ext cx="542925" cy="55245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wrap="square"/>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1876425</xdr:colOff>
      <xdr:row>0</xdr:row>
      <xdr:rowOff>93345</xdr:rowOff>
    </xdr:from>
    <xdr:to>
      <xdr:col>6</xdr:col>
      <xdr:colOff>2524125</xdr:colOff>
      <xdr:row>3</xdr:row>
      <xdr:rowOff>112395</xdr:rowOff>
    </xdr:to>
    <xdr:sp macro="" textlink="">
      <xdr:nvSpPr>
        <xdr:cNvPr id="2" name="Oval 1">
          <a:extLst>
            <a:ext uri="{FF2B5EF4-FFF2-40B4-BE49-F238E27FC236}">
              <a16:creationId xmlns:a16="http://schemas.microsoft.com/office/drawing/2014/main" id="{00000000-0008-0000-0000-000003000000}"/>
            </a:ext>
          </a:extLst>
        </xdr:cNvPr>
        <xdr:cNvSpPr>
          <a:spLocks noChangeArrowheads="1"/>
        </xdr:cNvSpPr>
      </xdr:nvSpPr>
      <xdr:spPr bwMode="auto">
        <a:xfrm>
          <a:off x="3232785" y="93345"/>
          <a:ext cx="647700" cy="643890"/>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twoCellAnchor>
    <xdr:from>
      <xdr:col>6</xdr:col>
      <xdr:colOff>866775</xdr:colOff>
      <xdr:row>29</xdr:row>
      <xdr:rowOff>28575</xdr:rowOff>
    </xdr:from>
    <xdr:to>
      <xdr:col>6</xdr:col>
      <xdr:colOff>2655570</xdr:colOff>
      <xdr:row>31</xdr:row>
      <xdr:rowOff>125730</xdr:rowOff>
    </xdr:to>
    <xdr:sp macro="" textlink="">
      <xdr:nvSpPr>
        <xdr:cNvPr id="3" name="角丸四角形吹き出し 8">
          <a:extLst>
            <a:ext uri="{FF2B5EF4-FFF2-40B4-BE49-F238E27FC236}">
              <a16:creationId xmlns:a16="http://schemas.microsoft.com/office/drawing/2014/main" id="{08278FBB-3D5F-4757-BC98-F70AFFCD3D93}"/>
            </a:ext>
          </a:extLst>
        </xdr:cNvPr>
        <xdr:cNvSpPr>
          <a:spLocks noChangeArrowheads="1"/>
        </xdr:cNvSpPr>
      </xdr:nvSpPr>
      <xdr:spPr bwMode="auto">
        <a:xfrm>
          <a:off x="2219325" y="4343400"/>
          <a:ext cx="1788795" cy="401955"/>
        </a:xfrm>
        <a:prstGeom prst="wedgeRoundRectCallout">
          <a:avLst>
            <a:gd name="adj1" fmla="val -40945"/>
            <a:gd name="adj2" fmla="val -124032"/>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200"/>
            </a:lnSpc>
            <a:spcAft>
              <a:spcPts val="0"/>
            </a:spcAft>
          </a:pPr>
          <a:r>
            <a:rPr lang="ja-JP" altLang="en-US" sz="1100">
              <a:solidFill>
                <a:srgbClr val="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支出内容欄に用途を記入</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7</xdr:col>
      <xdr:colOff>533400</xdr:colOff>
      <xdr:row>27</xdr:row>
      <xdr:rowOff>125730</xdr:rowOff>
    </xdr:from>
    <xdr:to>
      <xdr:col>9</xdr:col>
      <xdr:colOff>862965</xdr:colOff>
      <xdr:row>30</xdr:row>
      <xdr:rowOff>125730</xdr:rowOff>
    </xdr:to>
    <xdr:sp macro="" textlink="">
      <xdr:nvSpPr>
        <xdr:cNvPr id="4" name="角丸四角形吹き出し 9">
          <a:extLst>
            <a:ext uri="{FF2B5EF4-FFF2-40B4-BE49-F238E27FC236}">
              <a16:creationId xmlns:a16="http://schemas.microsoft.com/office/drawing/2014/main" id="{90D7160D-78DA-4028-BCBA-83AC97F05E45}"/>
            </a:ext>
          </a:extLst>
        </xdr:cNvPr>
        <xdr:cNvSpPr>
          <a:spLocks noChangeArrowheads="1"/>
        </xdr:cNvSpPr>
      </xdr:nvSpPr>
      <xdr:spPr bwMode="auto">
        <a:xfrm>
          <a:off x="5314950" y="4135755"/>
          <a:ext cx="1701165" cy="457200"/>
        </a:xfrm>
        <a:prstGeom prst="wedgeRoundRectCallout">
          <a:avLst>
            <a:gd name="adj1" fmla="val 34492"/>
            <a:gd name="adj2" fmla="val -73310"/>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金額が５万円を超える場合、見積書を提出する。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6</xdr:col>
      <xdr:colOff>1817370</xdr:colOff>
      <xdr:row>59</xdr:row>
      <xdr:rowOff>64770</xdr:rowOff>
    </xdr:from>
    <xdr:to>
      <xdr:col>7</xdr:col>
      <xdr:colOff>169545</xdr:colOff>
      <xdr:row>62</xdr:row>
      <xdr:rowOff>11430</xdr:rowOff>
    </xdr:to>
    <xdr:sp macro="" textlink="">
      <xdr:nvSpPr>
        <xdr:cNvPr id="5" name="角丸四角形吹き出し 8">
          <a:extLst>
            <a:ext uri="{FF2B5EF4-FFF2-40B4-BE49-F238E27FC236}">
              <a16:creationId xmlns:a16="http://schemas.microsoft.com/office/drawing/2014/main" id="{CFAC6669-0B0B-4E5D-A1FF-E57088D11580}"/>
            </a:ext>
          </a:extLst>
        </xdr:cNvPr>
        <xdr:cNvSpPr>
          <a:spLocks noChangeArrowheads="1"/>
        </xdr:cNvSpPr>
      </xdr:nvSpPr>
      <xdr:spPr bwMode="auto">
        <a:xfrm>
          <a:off x="3169920" y="8951595"/>
          <a:ext cx="1781175" cy="403860"/>
        </a:xfrm>
        <a:prstGeom prst="wedgeRoundRectCallout">
          <a:avLst>
            <a:gd name="adj1" fmla="val -7683"/>
            <a:gd name="adj2" fmla="val 89409"/>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200"/>
            </a:lnSpc>
            <a:spcAft>
              <a:spcPts val="0"/>
            </a:spcAft>
          </a:pPr>
          <a:r>
            <a:rPr lang="ja-JP" sz="1100">
              <a:solidFill>
                <a:srgbClr val="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助成対象外の経費の支出がある場合は記入</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6</xdr:col>
      <xdr:colOff>2769870</xdr:colOff>
      <xdr:row>66</xdr:row>
      <xdr:rowOff>53340</xdr:rowOff>
    </xdr:from>
    <xdr:to>
      <xdr:col>8</xdr:col>
      <xdr:colOff>20955</xdr:colOff>
      <xdr:row>70</xdr:row>
      <xdr:rowOff>47625</xdr:rowOff>
    </xdr:to>
    <xdr:sp macro="" textlink="">
      <xdr:nvSpPr>
        <xdr:cNvPr id="6" name="角丸四角形吹き出し 9">
          <a:extLst>
            <a:ext uri="{FF2B5EF4-FFF2-40B4-BE49-F238E27FC236}">
              <a16:creationId xmlns:a16="http://schemas.microsoft.com/office/drawing/2014/main" id="{A0036394-E80D-4D1D-A6E6-83ED9F2AF8FC}"/>
            </a:ext>
          </a:extLst>
        </xdr:cNvPr>
        <xdr:cNvSpPr>
          <a:spLocks noChangeArrowheads="1"/>
        </xdr:cNvSpPr>
      </xdr:nvSpPr>
      <xdr:spPr bwMode="auto">
        <a:xfrm>
          <a:off x="4122420" y="10006965"/>
          <a:ext cx="1384935" cy="432435"/>
        </a:xfrm>
        <a:prstGeom prst="wedgeRoundRectCallout">
          <a:avLst>
            <a:gd name="adj1" fmla="val 137046"/>
            <a:gd name="adj2" fmla="val 52173"/>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収入と支出の収支差額は必ず「</a:t>
          </a:r>
          <a:r>
            <a:rPr 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0</a:t>
          </a:r>
          <a:r>
            <a:rPr lang="ja-JP"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」になる</a:t>
          </a: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685800</xdr:colOff>
      <xdr:row>0</xdr:row>
      <xdr:rowOff>28575</xdr:rowOff>
    </xdr:from>
    <xdr:to>
      <xdr:col>6</xdr:col>
      <xdr:colOff>266700</xdr:colOff>
      <xdr:row>3</xdr:row>
      <xdr:rowOff>81915</xdr:rowOff>
    </xdr:to>
    <xdr:sp macro="" textlink="">
      <xdr:nvSpPr>
        <xdr:cNvPr id="2" name="楕円 1">
          <a:extLst>
            <a:ext uri="{FF2B5EF4-FFF2-40B4-BE49-F238E27FC236}">
              <a16:creationId xmlns:a16="http://schemas.microsoft.com/office/drawing/2014/main" id="{CCDA6164-AFA7-41A8-8BA2-A97296D41287}"/>
            </a:ext>
          </a:extLst>
        </xdr:cNvPr>
        <xdr:cNvSpPr/>
      </xdr:nvSpPr>
      <xdr:spPr>
        <a:xfrm>
          <a:off x="3162300" y="26670"/>
          <a:ext cx="571500" cy="5715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481852</xdr:colOff>
      <xdr:row>1</xdr:row>
      <xdr:rowOff>112059</xdr:rowOff>
    </xdr:from>
    <xdr:to>
      <xdr:col>9</xdr:col>
      <xdr:colOff>773204</xdr:colOff>
      <xdr:row>1</xdr:row>
      <xdr:rowOff>896471</xdr:rowOff>
    </xdr:to>
    <xdr:sp macro="" textlink="">
      <xdr:nvSpPr>
        <xdr:cNvPr id="2" name="Oval 1">
          <a:extLst>
            <a:ext uri="{FF2B5EF4-FFF2-40B4-BE49-F238E27FC236}">
              <a16:creationId xmlns:a16="http://schemas.microsoft.com/office/drawing/2014/main" id="{00000000-0008-0000-0000-000004000000}"/>
            </a:ext>
          </a:extLst>
        </xdr:cNvPr>
        <xdr:cNvSpPr>
          <a:spLocks noChangeArrowheads="1"/>
        </xdr:cNvSpPr>
      </xdr:nvSpPr>
      <xdr:spPr bwMode="auto">
        <a:xfrm>
          <a:off x="4390912" y="188259"/>
          <a:ext cx="733312" cy="784412"/>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251460</xdr:colOff>
      <xdr:row>0</xdr:row>
      <xdr:rowOff>22860</xdr:rowOff>
    </xdr:from>
    <xdr:to>
      <xdr:col>7</xdr:col>
      <xdr:colOff>274320</xdr:colOff>
      <xdr:row>3</xdr:row>
      <xdr:rowOff>99060</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3169920" y="22860"/>
          <a:ext cx="640080" cy="57912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xdr:from>
      <xdr:col>6</xdr:col>
      <xdr:colOff>297180</xdr:colOff>
      <xdr:row>48</xdr:row>
      <xdr:rowOff>45720</xdr:rowOff>
    </xdr:from>
    <xdr:to>
      <xdr:col>7</xdr:col>
      <xdr:colOff>320040</xdr:colOff>
      <xdr:row>49</xdr:row>
      <xdr:rowOff>7620</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3215640" y="10447020"/>
          <a:ext cx="640080" cy="57912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68580</xdr:rowOff>
    </xdr:from>
    <xdr:to>
      <xdr:col>7</xdr:col>
      <xdr:colOff>513522</xdr:colOff>
      <xdr:row>3</xdr:row>
      <xdr:rowOff>0</xdr:rowOff>
    </xdr:to>
    <xdr:sp macro="" textlink="">
      <xdr:nvSpPr>
        <xdr:cNvPr id="2" name="Oval 1">
          <a:extLst>
            <a:ext uri="{FF2B5EF4-FFF2-40B4-BE49-F238E27FC236}">
              <a16:creationId xmlns:a16="http://schemas.microsoft.com/office/drawing/2014/main" id="{C99EBC63-C2FC-4FD4-8905-00EFCB5A76B9}"/>
            </a:ext>
          </a:extLst>
        </xdr:cNvPr>
        <xdr:cNvSpPr>
          <a:spLocks noChangeArrowheads="1"/>
        </xdr:cNvSpPr>
      </xdr:nvSpPr>
      <xdr:spPr bwMode="auto">
        <a:xfrm>
          <a:off x="3406140" y="144780"/>
          <a:ext cx="513522" cy="44958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10" name="楕円 9">
          <a:extLst>
            <a:ext uri="{FF2B5EF4-FFF2-40B4-BE49-F238E27FC236}">
              <a16:creationId xmlns:a16="http://schemas.microsoft.com/office/drawing/2014/main" id="{00000000-0008-0000-0C00-00000A000000}"/>
            </a:ext>
          </a:extLst>
        </xdr:cNvPr>
        <xdr:cNvSpPr>
          <a:spLocks noChangeArrowheads="1"/>
        </xdr:cNvSpPr>
      </xdr:nvSpPr>
      <xdr:spPr bwMode="auto">
        <a:xfrm>
          <a:off x="6705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11" name="楕円 10">
          <a:extLst>
            <a:ext uri="{FF2B5EF4-FFF2-40B4-BE49-F238E27FC236}">
              <a16:creationId xmlns:a16="http://schemas.microsoft.com/office/drawing/2014/main" id="{00000000-0008-0000-0C00-00000B000000}"/>
            </a:ext>
          </a:extLst>
        </xdr:cNvPr>
        <xdr:cNvSpPr>
          <a:spLocks noChangeArrowheads="1"/>
        </xdr:cNvSpPr>
      </xdr:nvSpPr>
      <xdr:spPr bwMode="auto">
        <a:xfrm>
          <a:off x="13411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12" name="楕円 11">
          <a:extLst>
            <a:ext uri="{FF2B5EF4-FFF2-40B4-BE49-F238E27FC236}">
              <a16:creationId xmlns:a16="http://schemas.microsoft.com/office/drawing/2014/main" id="{00000000-0008-0000-0C00-00000C000000}"/>
            </a:ext>
          </a:extLst>
        </xdr:cNvPr>
        <xdr:cNvSpPr>
          <a:spLocks noChangeArrowheads="1"/>
        </xdr:cNvSpPr>
      </xdr:nvSpPr>
      <xdr:spPr bwMode="auto">
        <a:xfrm>
          <a:off x="20116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13" name="楕円 12">
          <a:extLst>
            <a:ext uri="{FF2B5EF4-FFF2-40B4-BE49-F238E27FC236}">
              <a16:creationId xmlns:a16="http://schemas.microsoft.com/office/drawing/2014/main" id="{00000000-0008-0000-0C00-00000D000000}"/>
            </a:ext>
          </a:extLst>
        </xdr:cNvPr>
        <xdr:cNvSpPr>
          <a:spLocks noChangeArrowheads="1"/>
        </xdr:cNvSpPr>
      </xdr:nvSpPr>
      <xdr:spPr bwMode="auto">
        <a:xfrm>
          <a:off x="26822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14" name="楕円 13">
          <a:extLst>
            <a:ext uri="{FF2B5EF4-FFF2-40B4-BE49-F238E27FC236}">
              <a16:creationId xmlns:a16="http://schemas.microsoft.com/office/drawing/2014/main" id="{00000000-0008-0000-0C00-00000E000000}"/>
            </a:ext>
          </a:extLst>
        </xdr:cNvPr>
        <xdr:cNvSpPr>
          <a:spLocks noChangeArrowheads="1"/>
        </xdr:cNvSpPr>
      </xdr:nvSpPr>
      <xdr:spPr bwMode="auto">
        <a:xfrm>
          <a:off x="33528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15" name="楕円 14">
          <a:extLst>
            <a:ext uri="{FF2B5EF4-FFF2-40B4-BE49-F238E27FC236}">
              <a16:creationId xmlns:a16="http://schemas.microsoft.com/office/drawing/2014/main" id="{00000000-0008-0000-0C00-00000F000000}"/>
            </a:ext>
          </a:extLst>
        </xdr:cNvPr>
        <xdr:cNvSpPr>
          <a:spLocks noChangeArrowheads="1"/>
        </xdr:cNvSpPr>
      </xdr:nvSpPr>
      <xdr:spPr bwMode="auto">
        <a:xfrm>
          <a:off x="40233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16" name="楕円 15">
          <a:extLst>
            <a:ext uri="{FF2B5EF4-FFF2-40B4-BE49-F238E27FC236}">
              <a16:creationId xmlns:a16="http://schemas.microsoft.com/office/drawing/2014/main" id="{00000000-0008-0000-0C00-000010000000}"/>
            </a:ext>
          </a:extLst>
        </xdr:cNvPr>
        <xdr:cNvSpPr>
          <a:spLocks noChangeArrowheads="1"/>
        </xdr:cNvSpPr>
      </xdr:nvSpPr>
      <xdr:spPr bwMode="auto">
        <a:xfrm>
          <a:off x="46939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17" name="楕円 16">
          <a:extLst>
            <a:ext uri="{FF2B5EF4-FFF2-40B4-BE49-F238E27FC236}">
              <a16:creationId xmlns:a16="http://schemas.microsoft.com/office/drawing/2014/main" id="{00000000-0008-0000-0C00-000011000000}"/>
            </a:ext>
          </a:extLst>
        </xdr:cNvPr>
        <xdr:cNvSpPr>
          <a:spLocks noChangeArrowheads="1"/>
        </xdr:cNvSpPr>
      </xdr:nvSpPr>
      <xdr:spPr bwMode="auto">
        <a:xfrm>
          <a:off x="53644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8" name="楕円 17">
          <a:extLst>
            <a:ext uri="{FF2B5EF4-FFF2-40B4-BE49-F238E27FC236}">
              <a16:creationId xmlns:a16="http://schemas.microsoft.com/office/drawing/2014/main" id="{00000000-0008-0000-0C00-000012000000}"/>
            </a:ext>
          </a:extLst>
        </xdr:cNvPr>
        <xdr:cNvSpPr>
          <a:spLocks noChangeArrowheads="1"/>
        </xdr:cNvSpPr>
      </xdr:nvSpPr>
      <xdr:spPr bwMode="auto">
        <a:xfrm>
          <a:off x="60350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9" name="楕円 18">
          <a:extLst>
            <a:ext uri="{FF2B5EF4-FFF2-40B4-BE49-F238E27FC236}">
              <a16:creationId xmlns:a16="http://schemas.microsoft.com/office/drawing/2014/main" id="{00000000-0008-0000-0C00-000013000000}"/>
            </a:ext>
          </a:extLst>
        </xdr:cNvPr>
        <xdr:cNvSpPr>
          <a:spLocks noChangeArrowheads="1"/>
        </xdr:cNvSpPr>
      </xdr:nvSpPr>
      <xdr:spPr bwMode="auto">
        <a:xfrm>
          <a:off x="67056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20" name="楕円 19">
          <a:extLst>
            <a:ext uri="{FF2B5EF4-FFF2-40B4-BE49-F238E27FC236}">
              <a16:creationId xmlns:a16="http://schemas.microsoft.com/office/drawing/2014/main" id="{00000000-0008-0000-0C00-000014000000}"/>
            </a:ext>
          </a:extLst>
        </xdr:cNvPr>
        <xdr:cNvSpPr>
          <a:spLocks noChangeArrowheads="1"/>
        </xdr:cNvSpPr>
      </xdr:nvSpPr>
      <xdr:spPr bwMode="auto">
        <a:xfrm>
          <a:off x="5003800" y="1778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7E5E9-06E5-41F7-8A5E-353B30D84FDE}">
  <dimension ref="A1:A28"/>
  <sheetViews>
    <sheetView tabSelected="1" zoomScaleNormal="100" workbookViewId="0"/>
  </sheetViews>
  <sheetFormatPr defaultRowHeight="18" x14ac:dyDescent="0.45"/>
  <cols>
    <col min="1" max="1" width="89" bestFit="1" customWidth="1"/>
  </cols>
  <sheetData>
    <row r="1" spans="1:1" x14ac:dyDescent="0.45">
      <c r="A1" s="392" t="s">
        <v>550</v>
      </c>
    </row>
    <row r="2" spans="1:1" x14ac:dyDescent="0.45">
      <c r="A2" s="392" t="s">
        <v>551</v>
      </c>
    </row>
    <row r="4" spans="1:1" ht="54.6" customHeight="1" x14ac:dyDescent="0.45">
      <c r="A4" s="119" t="s">
        <v>552</v>
      </c>
    </row>
    <row r="5" spans="1:1" x14ac:dyDescent="0.45">
      <c r="A5" s="354" t="s">
        <v>571</v>
      </c>
    </row>
    <row r="6" spans="1:1" x14ac:dyDescent="0.45">
      <c r="A6" s="354"/>
    </row>
    <row r="7" spans="1:1" ht="36" x14ac:dyDescent="0.45">
      <c r="A7" s="387" t="s">
        <v>572</v>
      </c>
    </row>
    <row r="8" spans="1:1" ht="36" x14ac:dyDescent="0.45">
      <c r="A8" s="365" t="s">
        <v>570</v>
      </c>
    </row>
    <row r="10" spans="1:1" x14ac:dyDescent="0.45">
      <c r="A10" s="119" t="s">
        <v>573</v>
      </c>
    </row>
    <row r="12" spans="1:1" ht="36" x14ac:dyDescent="0.45">
      <c r="A12" s="119" t="s">
        <v>566</v>
      </c>
    </row>
    <row r="13" spans="1:1" x14ac:dyDescent="0.45">
      <c r="A13" s="354" t="s">
        <v>553</v>
      </c>
    </row>
    <row r="14" spans="1:1" x14ac:dyDescent="0.45">
      <c r="A14" s="354" t="s">
        <v>554</v>
      </c>
    </row>
    <row r="15" spans="1:1" s="354" customFormat="1" x14ac:dyDescent="0.45">
      <c r="A15" s="354" t="s">
        <v>555</v>
      </c>
    </row>
    <row r="16" spans="1:1" s="354" customFormat="1" x14ac:dyDescent="0.45">
      <c r="A16" s="354" t="s">
        <v>556</v>
      </c>
    </row>
    <row r="17" spans="1:1" x14ac:dyDescent="0.45">
      <c r="A17" s="354" t="s">
        <v>557</v>
      </c>
    </row>
    <row r="19" spans="1:1" x14ac:dyDescent="0.45">
      <c r="A19" s="255" t="s">
        <v>567</v>
      </c>
    </row>
    <row r="21" spans="1:1" x14ac:dyDescent="0.45">
      <c r="A21" t="s">
        <v>560</v>
      </c>
    </row>
    <row r="23" spans="1:1" ht="36" x14ac:dyDescent="0.45">
      <c r="A23" s="119" t="s">
        <v>575</v>
      </c>
    </row>
    <row r="24" spans="1:1" x14ac:dyDescent="0.45">
      <c r="A24" s="119"/>
    </row>
    <row r="25" spans="1:1" ht="36" x14ac:dyDescent="0.45">
      <c r="A25" s="119" t="s">
        <v>574</v>
      </c>
    </row>
    <row r="27" spans="1:1" x14ac:dyDescent="0.45">
      <c r="A27" t="s">
        <v>568</v>
      </c>
    </row>
    <row r="28" spans="1:1" ht="36" x14ac:dyDescent="0.45">
      <c r="A28" s="119" t="s">
        <v>569</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279"/>
  <sheetViews>
    <sheetView zoomScale="85" zoomScaleNormal="85" workbookViewId="0">
      <selection activeCell="B17" sqref="B17"/>
    </sheetView>
  </sheetViews>
  <sheetFormatPr defaultRowHeight="18" x14ac:dyDescent="0.45"/>
  <cols>
    <col min="1" max="1" width="50" customWidth="1"/>
    <col min="2" max="2" width="52.8984375" customWidth="1"/>
    <col min="3" max="3" width="8.796875" customWidth="1"/>
    <col min="4" max="4" width="0" hidden="1" customWidth="1"/>
    <col min="5" max="5" width="53.3984375" hidden="1" customWidth="1"/>
    <col min="6" max="7" width="29.796875" hidden="1" customWidth="1"/>
    <col min="8" max="8" width="53.3984375" hidden="1" customWidth="1"/>
    <col min="9" max="10" width="29.796875" hidden="1" customWidth="1"/>
    <col min="11" max="11" width="0" hidden="1" customWidth="1"/>
  </cols>
  <sheetData>
    <row r="2" spans="1:10" x14ac:dyDescent="0.45">
      <c r="A2" s="121" t="s">
        <v>293</v>
      </c>
      <c r="B2" s="382" t="str">
        <f>入力フォーム!B2&amp;""</f>
        <v>東京一丁目町会</v>
      </c>
      <c r="C2" t="s">
        <v>561</v>
      </c>
    </row>
    <row r="3" spans="1:10" x14ac:dyDescent="0.45">
      <c r="A3" s="121" t="s">
        <v>294</v>
      </c>
      <c r="B3" s="388" t="str">
        <f>入力フォーム!B3&amp;""</f>
        <v>単一</v>
      </c>
      <c r="F3" s="59">
        <v>200000</v>
      </c>
      <c r="G3" s="59">
        <v>300000</v>
      </c>
      <c r="H3" s="59">
        <v>500000</v>
      </c>
      <c r="I3" s="59">
        <v>1000000</v>
      </c>
      <c r="J3" s="59">
        <v>2000000</v>
      </c>
    </row>
    <row r="4" spans="1:10" x14ac:dyDescent="0.45">
      <c r="A4" s="121" t="s">
        <v>312</v>
      </c>
      <c r="B4" s="383" t="str">
        <f>TEXT(入力フォーム!B4&amp;"","〒000-0000")</f>
        <v>〒111-0001</v>
      </c>
      <c r="C4" t="s">
        <v>561</v>
      </c>
      <c r="F4" s="59"/>
      <c r="G4" s="59"/>
      <c r="H4" s="59"/>
      <c r="I4" s="59"/>
      <c r="J4" s="59"/>
    </row>
    <row r="5" spans="1:10" x14ac:dyDescent="0.45">
      <c r="A5" s="121" t="s">
        <v>313</v>
      </c>
      <c r="B5" s="382" t="str">
        <f>入力フォーム!B5&amp;""</f>
        <v>○○区△△１－２－１</v>
      </c>
      <c r="C5" t="s">
        <v>561</v>
      </c>
    </row>
    <row r="6" spans="1:10" x14ac:dyDescent="0.45">
      <c r="A6" s="121" t="s">
        <v>295</v>
      </c>
      <c r="B6" s="382" t="str">
        <f>入力フォーム!B6&amp;""</f>
        <v>会長</v>
      </c>
      <c r="C6" t="s">
        <v>561</v>
      </c>
    </row>
    <row r="7" spans="1:10" x14ac:dyDescent="0.45">
      <c r="A7" s="121" t="s">
        <v>296</v>
      </c>
      <c r="B7" s="382" t="str">
        <f>入力フォーム!B7&amp;""</f>
        <v>東京　太郎</v>
      </c>
      <c r="C7" t="s">
        <v>561</v>
      </c>
    </row>
    <row r="8" spans="1:10" x14ac:dyDescent="0.45">
      <c r="A8" s="121" t="s">
        <v>297</v>
      </c>
      <c r="B8" s="382" t="str">
        <f>入力フォーム!B8&amp;""</f>
        <v>03-5321-XXXX</v>
      </c>
      <c r="C8" t="s">
        <v>561</v>
      </c>
    </row>
    <row r="9" spans="1:10" x14ac:dyDescent="0.45">
      <c r="A9" s="121" t="s">
        <v>298</v>
      </c>
      <c r="B9" s="382" t="str">
        <f>入力フォーム!B9&amp;""</f>
        <v>副会長</v>
      </c>
      <c r="C9" t="s">
        <v>561</v>
      </c>
    </row>
    <row r="10" spans="1:10" x14ac:dyDescent="0.45">
      <c r="A10" s="121" t="s">
        <v>299</v>
      </c>
      <c r="B10" s="382" t="str">
        <f>入力フォーム!B10&amp;""</f>
        <v>新宿　花子</v>
      </c>
      <c r="C10" t="s">
        <v>561</v>
      </c>
    </row>
    <row r="11" spans="1:10" x14ac:dyDescent="0.45">
      <c r="A11" s="121" t="s">
        <v>314</v>
      </c>
      <c r="B11" s="382" t="str">
        <f>TEXT(入力フォーム!B11&amp;"","〒000-0000")</f>
        <v>〒111-0002</v>
      </c>
      <c r="C11" t="s">
        <v>561</v>
      </c>
    </row>
    <row r="12" spans="1:10" x14ac:dyDescent="0.45">
      <c r="A12" s="121" t="s">
        <v>315</v>
      </c>
      <c r="B12" s="382" t="str">
        <f>入力フォーム!B12&amp;""</f>
        <v>○○区△△３－２－１４</v>
      </c>
      <c r="C12" t="s">
        <v>561</v>
      </c>
    </row>
    <row r="13" spans="1:10" x14ac:dyDescent="0.45">
      <c r="A13" s="121" t="s">
        <v>447</v>
      </c>
      <c r="B13" s="382" t="str">
        <f>入力フォーム!B13&amp;""</f>
        <v>03-5321-YYYY</v>
      </c>
      <c r="C13" t="s">
        <v>561</v>
      </c>
    </row>
    <row r="14" spans="1:10" x14ac:dyDescent="0.45">
      <c r="A14" s="121" t="s">
        <v>448</v>
      </c>
      <c r="B14" s="382" t="str">
        <f>入力フォーム!B14&amp;""</f>
        <v>090-1234-ZZZZ</v>
      </c>
      <c r="C14" t="s">
        <v>561</v>
      </c>
    </row>
    <row r="15" spans="1:10" x14ac:dyDescent="0.45">
      <c r="A15" s="121" t="s">
        <v>300</v>
      </c>
      <c r="B15" s="382" t="str">
        <f>入力フォーム!B15&amp;""</f>
        <v>03-5321-ZZZZ</v>
      </c>
      <c r="C15" t="s">
        <v>561</v>
      </c>
    </row>
    <row r="16" spans="1:10" x14ac:dyDescent="0.45">
      <c r="A16" s="121" t="s">
        <v>301</v>
      </c>
      <c r="B16" s="382" t="str">
        <f>入力フォーム!B16&amp;""</f>
        <v>hanako-s@toooo.xxxx.jp</v>
      </c>
      <c r="C16" t="s">
        <v>561</v>
      </c>
    </row>
    <row r="17" spans="1:3" x14ac:dyDescent="0.45">
      <c r="A17" s="16" t="s">
        <v>333</v>
      </c>
      <c r="B17" s="384"/>
      <c r="C17" t="s">
        <v>565</v>
      </c>
    </row>
    <row r="18" spans="1:3" x14ac:dyDescent="0.45">
      <c r="A18" s="16" t="s">
        <v>307</v>
      </c>
      <c r="B18" s="366"/>
      <c r="C18" t="s">
        <v>98</v>
      </c>
    </row>
    <row r="19" spans="1:3" x14ac:dyDescent="0.45">
      <c r="A19" s="16" t="s">
        <v>308</v>
      </c>
      <c r="B19" s="375"/>
    </row>
    <row r="20" spans="1:3" x14ac:dyDescent="0.45">
      <c r="A20" s="16" t="s">
        <v>344</v>
      </c>
      <c r="B20" s="366"/>
      <c r="C20" t="s">
        <v>98</v>
      </c>
    </row>
    <row r="21" spans="1:3" x14ac:dyDescent="0.45">
      <c r="A21" t="s">
        <v>356</v>
      </c>
      <c r="B21" s="380"/>
      <c r="C21" t="s">
        <v>98</v>
      </c>
    </row>
    <row r="22" spans="1:3" ht="35.4" customHeight="1" x14ac:dyDescent="0.45">
      <c r="A22" s="119" t="str">
        <f>IF(B21="はい",IF(入力フォーム!B227="","↓", "収支予算書に計上された「"&amp;入力フォーム!B227&amp;"」の支出はありますか"),IF(B21="いいえ","↓","↓"))</f>
        <v>↓</v>
      </c>
      <c r="B22" s="381"/>
      <c r="C22" t="s">
        <v>98</v>
      </c>
    </row>
    <row r="23" spans="1:3" ht="35.4" customHeight="1" x14ac:dyDescent="0.45">
      <c r="A23" s="119" t="str">
        <f>IF(B21="はい",IF(入力フォーム!B230="","↓", "収支予算書に計上された「"&amp;入力フォーム!B230&amp;"」の支出はありますか"),IF(B21="いいえ","↓","↓"))</f>
        <v>↓</v>
      </c>
      <c r="B23" s="381"/>
      <c r="C23" t="s">
        <v>98</v>
      </c>
    </row>
    <row r="24" spans="1:3" ht="35.4" customHeight="1" x14ac:dyDescent="0.45">
      <c r="A24" s="119" t="str">
        <f>IF(B21="はい",IF(入力フォーム!B233="","↓", "収支予算書に計上された「"&amp;入力フォーム!B233&amp;"」の支出はありますか"),IF(B21="いいえ","↓","↓"))</f>
        <v>↓</v>
      </c>
      <c r="B24" s="381"/>
      <c r="C24" t="s">
        <v>98</v>
      </c>
    </row>
    <row r="25" spans="1:3" ht="35.4" customHeight="1" x14ac:dyDescent="0.45">
      <c r="A25" s="119" t="str">
        <f>IF(B21="はい",IF(入力フォーム!B236="","↓", "収支予算書に計上された「"&amp;入力フォーム!B236&amp;"」の支出はありますか"),IF(B21="いいえ","↓","↓"))</f>
        <v>↓</v>
      </c>
      <c r="B25" s="381"/>
      <c r="C25" t="s">
        <v>98</v>
      </c>
    </row>
    <row r="26" spans="1:3" x14ac:dyDescent="0.45">
      <c r="A26" t="str">
        <f>IF(B21="","↓",IF(B21="いいえ","↓（謝礼金１の支出内容）",IF(B22="","↓（謝礼金１の支出内容）",IF(B22="はい","謝礼金１の支出内容（例：防災講習会講師謝礼)","↓（謝礼金１の支出内容）"))))</f>
        <v>↓</v>
      </c>
      <c r="B26" s="381" t="str">
        <f>IF(B22="はい", 収支予算書!G17,"")</f>
        <v/>
      </c>
      <c r="C26" t="str">
        <f>IF(B27="", "", IF(B27*IF(B28="一式",1, B28)&gt;50000, "←交付申請時に見積書を提出していない経費の場合は請求書等の内訳を示すものの添付が必要です", ""))</f>
        <v/>
      </c>
    </row>
    <row r="27" spans="1:3" x14ac:dyDescent="0.45">
      <c r="A27" t="str">
        <f>IF(B21="","↓",IF(B21="いいえ","↓（謝礼金１の単価（税込）（数字のみ記入））",IF(B22="","↓（謝礼金１の単価（税込）（数字のみ記入））",IF(B22="はい","謝礼金１の単価（税込）（数字のみ記入）","↓（謝礼金１の単価（税込）（数字のみ記入））"))))</f>
        <v>↓</v>
      </c>
      <c r="B27" s="381" t="str">
        <f>IF(B22="はい", 収支予算書!H17,"")</f>
        <v/>
      </c>
      <c r="C27" t="s">
        <v>508</v>
      </c>
    </row>
    <row r="28" spans="1:3" x14ac:dyDescent="0.45">
      <c r="A28" t="str">
        <f>IF(B21="","↓",IF(B21="いいえ","↓（謝礼金１の（数量）（数字のみ記入））",IF(B22="","↓（謝礼金１の（数量）（数字のみ記入））",IF(B22="はい","謝礼金１の（数量）（数字のみ記入）","↓（謝礼金１の（数量）（数字のみ記入））"))))</f>
        <v>↓</v>
      </c>
      <c r="B28" s="381" t="str">
        <f>IF(B22="はい", 収支予算書!I17,"")</f>
        <v/>
      </c>
      <c r="C28" t="s">
        <v>549</v>
      </c>
    </row>
    <row r="29" spans="1:3" x14ac:dyDescent="0.45">
      <c r="A29" t="str">
        <f>IF(B21="","↓",IF(B21="いいえ","↓（謝礼金１の変更理由）",IF(B22="","↓（謝礼金１の変更理由）",IF(B22="はい","謝礼金１の変更理由","謝礼金１の変更理由"))))</f>
        <v>↓</v>
      </c>
      <c r="B29" s="381"/>
      <c r="C29" t="str">
        <f>IF(B22="いいえ","←"&amp;収支予算書!G17&amp;"の変更理由を記入してください","")</f>
        <v/>
      </c>
    </row>
    <row r="30" spans="1:3" x14ac:dyDescent="0.45">
      <c r="A30" t="str">
        <f>IF(B21="","↓",IF(B21="いいえ","↓（謝礼金２の支出内容）",IF(B23="","↓（謝礼金２の支出内容）",IF(B23="はい","謝礼金２の支出内容","↓（謝礼金２の支出内容）"))))</f>
        <v>↓</v>
      </c>
      <c r="B30" s="381" t="str">
        <f>IF(B23="はい", 収支予算書!G18,"")</f>
        <v/>
      </c>
      <c r="C30" t="str">
        <f>IF(B31="", "", IF(B31*IF(B32="一式",1, B32)&gt;50000, "←交付申請時に見積書を提出していない経費の場合は請求書等の内訳を示すものの添付が必要です", ""))</f>
        <v/>
      </c>
    </row>
    <row r="31" spans="1:3" x14ac:dyDescent="0.45">
      <c r="A31" t="str">
        <f>IF(B21="","↓",IF(B21="いいえ","↓（謝礼金２の単価（税込）（数字のみ記入））",IF(B23="","↓（謝礼金２の単価（税込）（数字のみ記入））",IF(B23="はい","謝礼金２の単価（税込）（数字のみ記入）","↓（謝礼金２の単価（税込）（数字のみ記入））"))))</f>
        <v>↓</v>
      </c>
      <c r="B31" s="381" t="str">
        <f>IF(B23="はい", 収支予算書!H18,"")</f>
        <v/>
      </c>
      <c r="C31" t="s">
        <v>508</v>
      </c>
    </row>
    <row r="32" spans="1:3" x14ac:dyDescent="0.45">
      <c r="A32" t="str">
        <f>IF(B21="","↓",IF(B21="いいえ","↓（謝礼金２の（数量）（数字のみ記入））",IF(B23="","↓（謝礼金２の（数量）（数字のみ記入））",IF(B23="はい","謝礼金２の（数量）（数字のみ記入）","↓（謝礼金２の（数量）（数字のみ記入））"))))</f>
        <v>↓</v>
      </c>
      <c r="B32" s="381" t="str">
        <f>IF(B23="はい", 収支予算書!I18,"")</f>
        <v/>
      </c>
      <c r="C32" t="s">
        <v>549</v>
      </c>
    </row>
    <row r="33" spans="1:3" x14ac:dyDescent="0.45">
      <c r="A33" t="str">
        <f>IF(B21="","↓",IF(B21="いいえ","↓（謝礼金２の変更理由）",IF(B23="","↓（謝礼金２の変更理由）",IF(B23="はい","謝礼金２の変更理由","謝礼金２の変更理由"))))</f>
        <v>↓</v>
      </c>
      <c r="B33" s="381"/>
      <c r="C33" t="str">
        <f>IF(B23="いいえ","←"&amp;収支予算書!G18&amp;"の変更理由を記入してください","")</f>
        <v/>
      </c>
    </row>
    <row r="34" spans="1:3" x14ac:dyDescent="0.45">
      <c r="A34" t="str">
        <f>IF(B21="","↓",IF(B21="いいえ","↓（謝礼金３の支出内容）",IF(B24="","↓（謝礼金３の支出内容）",IF(B24="はい","謝礼金３の支出内容","↓（謝礼金３の支出内容）"))))</f>
        <v>↓</v>
      </c>
      <c r="B34" s="381" t="str">
        <f>IF(B24="はい", 収支予算書!G19,"")</f>
        <v/>
      </c>
      <c r="C34" t="str">
        <f>IF(B35="", "", IF(B35*IF(B36="一式",1, B36)&gt;50000, "←交付申請時に見積書を提出していない経費の場合は請求書等の内訳を示すものの添付が必要です", ""))</f>
        <v/>
      </c>
    </row>
    <row r="35" spans="1:3" x14ac:dyDescent="0.45">
      <c r="A35" t="str">
        <f>IF(B21="","↓",IF(B21="いいえ","↓（謝礼金３の単価（税込）（数字のみ記入））",IF(B24="","↓（謝礼金３の単価（税込）（数字のみ記入））",IF(B24="はい","謝礼金３の単価（税込）（数字のみ記入）","↓（謝礼金３の単価（税込）（数字のみ記入））"))))</f>
        <v>↓</v>
      </c>
      <c r="B35" s="381" t="str">
        <f>IF(B24="はい", 収支予算書!H19,"")</f>
        <v/>
      </c>
      <c r="C35" t="s">
        <v>508</v>
      </c>
    </row>
    <row r="36" spans="1:3" x14ac:dyDescent="0.45">
      <c r="A36" t="str">
        <f>IF(B21="","↓",IF(B21="いいえ","↓（謝礼金３の（数量）（数字のみ記入））",IF(B24="","↓（謝礼金３の（数量）（数字のみ記入））",IF(B24="はい","謝礼金３の（数量）（数字のみ記入）","↓（謝礼金３の（数量）（数字のみ記入））"))))</f>
        <v>↓</v>
      </c>
      <c r="B36" s="381" t="str">
        <f>IF(B24="はい", 収支予算書!I19,"")</f>
        <v/>
      </c>
      <c r="C36" t="s">
        <v>549</v>
      </c>
    </row>
    <row r="37" spans="1:3" x14ac:dyDescent="0.45">
      <c r="A37" t="str">
        <f>IF(B21="","↓",IF(B21="いいえ","↓（謝礼金３の変更理由）",IF(B24="","↓（謝礼金３の変更理由）",IF(B24="はい","謝礼金３の変更理由","謝礼金３の変更理由"))))</f>
        <v>↓</v>
      </c>
      <c r="B37" s="381"/>
      <c r="C37" t="str">
        <f>IF(B24="いいえ","←"&amp;収支予算書!G19&amp;"の変更理由を記入してください","")</f>
        <v/>
      </c>
    </row>
    <row r="38" spans="1:3" x14ac:dyDescent="0.45">
      <c r="A38" t="str">
        <f>IF(B21="","↓",IF(B21="いいえ","↓（謝礼金４の支出内容）",IF(B25="","↓（謝礼金４の支出内容）",IF(B25="はい","謝礼金４の支出内容","↓（謝礼金４の支出内容）"))))</f>
        <v>↓</v>
      </c>
      <c r="B38" s="381" t="str">
        <f>IF(B25="はい", 収支予算書!G20,"")</f>
        <v/>
      </c>
      <c r="C38" t="str">
        <f>IF(B39="", "", IF(B39*IF(B40="一式",1, B40)&gt;50000, "←交付申請時に見積書を提出していない経費の場合は請求書等の内訳を示すものの添付が必要です", ""))</f>
        <v/>
      </c>
    </row>
    <row r="39" spans="1:3" x14ac:dyDescent="0.45">
      <c r="A39" t="str">
        <f>IF(B21="","↓",IF(B21="いいえ","↓（謝礼金４の単価（税込）（数字のみ記入））",IF(B25="","↓（謝礼金４の単価（税込）（数字のみ記入））",IF(B25="はい","謝礼金４の単価（税込）（数字のみ記入）","↓（謝礼金４の単価（税込）（数字のみ記入））"))))</f>
        <v>↓</v>
      </c>
      <c r="B39" s="381" t="str">
        <f>IF(B25="はい", 収支予算書!H20,"")</f>
        <v/>
      </c>
      <c r="C39" t="s">
        <v>508</v>
      </c>
    </row>
    <row r="40" spans="1:3" x14ac:dyDescent="0.45">
      <c r="A40" t="str">
        <f>IF(B21="","↓",IF(B21="いいえ","↓（謝礼金４の（数量）（数字のみ記入））",IF(B25="","↓（謝礼金４の（数量）（数字のみ記入））",IF(B25="はい","謝礼金４の（数量）（数字のみ記入）","↓（謝礼金４の（数量）（数字のみ記入））"))))</f>
        <v>↓</v>
      </c>
      <c r="B40" s="381" t="str">
        <f>IF(B25="はい", 収支予算書!I20,"")</f>
        <v/>
      </c>
      <c r="C40" t="s">
        <v>549</v>
      </c>
    </row>
    <row r="41" spans="1:3" x14ac:dyDescent="0.45">
      <c r="A41" t="str">
        <f>IF(B21="","↓",IF(B21="いいえ","↓（謝礼金４の変更理由）",IF(B25="","↓（謝礼金４の変更理由）",IF(B25="はい","謝礼金４の変更理由","謝礼金４の変更理由"))))</f>
        <v>↓</v>
      </c>
      <c r="B41" s="381"/>
      <c r="C41" t="str">
        <f>IF(B25="いいえ","←"&amp;収支予算書!G20&amp;"の変更理由を記入してください","")</f>
        <v/>
      </c>
    </row>
    <row r="42" spans="1:3" x14ac:dyDescent="0.45">
      <c r="A42" t="s">
        <v>357</v>
      </c>
      <c r="B42" s="380"/>
      <c r="C42" t="s">
        <v>98</v>
      </c>
    </row>
    <row r="43" spans="1:3" ht="37.799999999999997" customHeight="1" x14ac:dyDescent="0.45">
      <c r="A43" s="119" t="str">
        <f>IF(B42="はい",IF(入力フォーム!B240="","↓", "収支予算書に計上された「"&amp;入力フォーム!B240&amp;"」の支出はありますか"),IF(B42="いいえ","↓","↓"))</f>
        <v>↓</v>
      </c>
      <c r="B43" s="381"/>
      <c r="C43" t="s">
        <v>98</v>
      </c>
    </row>
    <row r="44" spans="1:3" ht="37.799999999999997" customHeight="1" x14ac:dyDescent="0.45">
      <c r="A44" s="119" t="str">
        <f>IF(B42="はい",IF(入力フォーム!B243="","↓", "収支予算書に計上された「"&amp;入力フォーム!B243&amp;"」の支出はありますか"),IF(B42="いいえ","↓","↓"))</f>
        <v>↓</v>
      </c>
      <c r="B44" s="381"/>
      <c r="C44" t="s">
        <v>98</v>
      </c>
    </row>
    <row r="45" spans="1:3" ht="37.799999999999997" customHeight="1" x14ac:dyDescent="0.45">
      <c r="A45" s="119" t="str">
        <f>IF(B42="はい",IF(入力フォーム!B246="","↓", "収支予算書に計上された「"&amp;入力フォーム!B246&amp;"」の支出はありますか"),IF(B42="いいえ","↓","↓"))</f>
        <v>↓</v>
      </c>
      <c r="B45" s="381"/>
      <c r="C45" t="s">
        <v>98</v>
      </c>
    </row>
    <row r="46" spans="1:3" ht="37.799999999999997" customHeight="1" x14ac:dyDescent="0.45">
      <c r="A46" s="119" t="str">
        <f>IF(B42="はい",IF(入力フォーム!B249="","↓", "収支予算書に計上された「"&amp;入力フォーム!B249&amp;"」の支出はありますか"),IF(B42="いいえ","↓","↓"))</f>
        <v>↓</v>
      </c>
      <c r="B46" s="381"/>
      <c r="C46" t="s">
        <v>98</v>
      </c>
    </row>
    <row r="47" spans="1:3" x14ac:dyDescent="0.45">
      <c r="A47" s="16" t="str">
        <f>IF(B42="","↓",IF(B42="いいえ","↓（打合せ経費１の支出内容）",IF(B43="","↓（打合せ経費１の支出内容）",IF(B43="はい","打合せ経費１の支出内容（例：打合せ参加者用お茶（500mlペットボトル）)","↓（打合せ経費１の支出内容）"))))</f>
        <v>↓</v>
      </c>
      <c r="B47" s="381" t="str">
        <f>IF(B43="はい", 収支予算書!G21,"")</f>
        <v/>
      </c>
      <c r="C47" t="str">
        <f>IF(B48="", "", IF(B48*IF(B49="一式",1, B49)&gt;50000, "←交付申請時に見積書を提出していない経費の場合は請求書等の内訳を示すものの添付が必要です", ""))</f>
        <v/>
      </c>
    </row>
    <row r="48" spans="1:3" x14ac:dyDescent="0.45">
      <c r="A48" t="str">
        <f>IF(B42="","↓",IF(B42="いいえ","↓（打合せ経費１の単価（税込）（数字のみ記入））",IF(B43="","↓（打合せ経費１の単価（税込）（数字のみ記入））",IF(B43="はい","打合せ経費１の単価（税込）（数字のみ記入）","↓（打合せ経費１の単価（税込）（数字のみ記入））"))))</f>
        <v>↓</v>
      </c>
      <c r="B48" s="381" t="str">
        <f>IF(B43="はい", 収支予算書!H21,"")</f>
        <v/>
      </c>
      <c r="C48" t="s">
        <v>508</v>
      </c>
    </row>
    <row r="49" spans="1:3" x14ac:dyDescent="0.45">
      <c r="A49" t="str">
        <f>IF(B42="","↓",IF(B42="いいえ","↓（打合せ経費１の（数量）（数字のみ記入））",IF(B43="","↓（打合せ経費１の（数量）（数字のみ記入））",IF(B43="はい","打合せ経費１の（数量）（数字のみ記入）","↓（打合せ経費１の（数量）（数字のみ記入））"))))</f>
        <v>↓</v>
      </c>
      <c r="B49" s="381" t="str">
        <f>IF(B43="はい", 収支予算書!I21,"")</f>
        <v/>
      </c>
      <c r="C49" t="s">
        <v>549</v>
      </c>
    </row>
    <row r="50" spans="1:3" x14ac:dyDescent="0.45">
      <c r="A50" t="str">
        <f>IF(B42="","↓",IF(B42="いいえ","↓（打合せ経費１の変更理由）",IF(B43="","↓（打合せ経費１の変更理由）",IF(B43="はい","打合せ経費１の変更理由","打合せ経費１の変更理由"))))</f>
        <v>↓</v>
      </c>
      <c r="B50" s="381"/>
      <c r="C50" t="str">
        <f>IF(B43="いいえ","←"&amp;収支予算書!G21&amp;"の変更理由を記入してください","")</f>
        <v/>
      </c>
    </row>
    <row r="51" spans="1:3" x14ac:dyDescent="0.45">
      <c r="A51" t="str">
        <f>IF(B42="","↓",IF(B42="いいえ","↓（打合せ経費２の支出内容）",IF(B44="","↓（打合せ経費２の支出内容）",IF(B44="はい","打合せ経費２の支出内容","↓（打合せ経費２の支出内容）"))))</f>
        <v>↓</v>
      </c>
      <c r="B51" s="381" t="str">
        <f>IF(B44="はい", 収支予算書!G22,"")</f>
        <v/>
      </c>
      <c r="C51" t="str">
        <f>IF(B52="", "", IF(B52*IF(B53="一式",1, B53)&gt;50000, "←交付申請時に見積書を提出していない経費の場合は請求書等の内訳を示すものの添付が必要です", ""))</f>
        <v/>
      </c>
    </row>
    <row r="52" spans="1:3" x14ac:dyDescent="0.45">
      <c r="A52" t="str">
        <f>IF(B42="","↓",IF(B42="いいえ","↓（打合せ経費２の単価（税込）（数字のみ記入））",IF(B44="","↓（打合せ経費２の単価（税込）（数字のみ記入））",IF(B44="はい","打合せ経費２の単価（税込）（数字のみ記入）","↓（打合せ経費２の単価（税込）（数字のみ記入））"))))</f>
        <v>↓</v>
      </c>
      <c r="B52" s="381" t="str">
        <f>IF(B44="はい", 収支予算書!H22,"")</f>
        <v/>
      </c>
      <c r="C52" t="s">
        <v>508</v>
      </c>
    </row>
    <row r="53" spans="1:3" x14ac:dyDescent="0.45">
      <c r="A53" t="str">
        <f>IF(B42="","↓",IF(B42="いいえ","↓（打合せ経費２の（数量）（数字のみ記入））",IF(B44="","↓（打合せ経費２の（数量）（数字のみ記入））",IF(B44="はい","打合せ経費２の（数量）（数字のみ記入）","↓（打合せ経費２の（数量）（数字のみ記入））"))))</f>
        <v>↓</v>
      </c>
      <c r="B53" s="381" t="str">
        <f>IF(B44="はい", 収支予算書!I22,"")</f>
        <v/>
      </c>
      <c r="C53" t="s">
        <v>549</v>
      </c>
    </row>
    <row r="54" spans="1:3" x14ac:dyDescent="0.45">
      <c r="A54" t="str">
        <f>IF(B42="","↓",IF(B42="いいえ","↓（打合せ経費２の変更理由）",IF(B44="","↓（打合せ経費２の変更理由）",IF(B44="はい","打合せ経費２の変更理由","打合せ経費２の変更理由"))))</f>
        <v>↓</v>
      </c>
      <c r="B54" s="381"/>
      <c r="C54" t="str">
        <f>IF(B44="いいえ","←"&amp;収支予算書!G22&amp;"の変更理由を記入してください","")</f>
        <v/>
      </c>
    </row>
    <row r="55" spans="1:3" x14ac:dyDescent="0.45">
      <c r="A55" t="str">
        <f>IF(B42="","↓",IF(B42="いいえ","↓（打合せ経費３の支出内容）",IF(B45="","↓（打合せ経費３の支出内容）",IF(B45="はい","打合せ経費３の支出内容","↓（打合せ経費３の支出内容）"))))</f>
        <v>↓</v>
      </c>
      <c r="B55" s="381" t="str">
        <f>IF(B45="はい", 収支予算書!G23,"")</f>
        <v/>
      </c>
    </row>
    <row r="56" spans="1:3" x14ac:dyDescent="0.45">
      <c r="A56" t="str">
        <f>IF(B42="","↓",IF(B42="いいえ","↓（打合せ経費３の単価（税込）（数字のみ記入））",IF(B45="","↓（打合せ経費３の単価（税込）（数字のみ記入））",IF(B45="はい","打合せ経費３の単価（税込）（数字のみ記入）","↓（打合せ経費３の単価（税込）（数字のみ記入））"))))</f>
        <v>↓</v>
      </c>
      <c r="B56" s="381" t="str">
        <f>IF(B45="はい", 収支予算書!H23,"")</f>
        <v/>
      </c>
      <c r="C56" t="s">
        <v>508</v>
      </c>
    </row>
    <row r="57" spans="1:3" x14ac:dyDescent="0.45">
      <c r="A57" t="str">
        <f>IF(B42="","↓",IF(B42="いいえ","↓（打合せ経費３の（数量）（数字のみ記入））",IF(B45="","↓（打合せ経費３の（数量）（数字のみ記入））",IF(B45="はい","打合せ経費３の（数量）（数字のみ記入）","↓（打合せ経費３の（数量）（数字のみ記入））"))))</f>
        <v>↓</v>
      </c>
      <c r="B57" s="381" t="str">
        <f>IF(B45="はい", 収支予算書!I23,"")</f>
        <v/>
      </c>
      <c r="C57" t="s">
        <v>549</v>
      </c>
    </row>
    <row r="58" spans="1:3" x14ac:dyDescent="0.45">
      <c r="A58" t="str">
        <f>IF(B42="","↓",IF(B42="いいえ","↓（打合せ経費３の変更理由）",IF(B45="","↓（打合せ経費３の変更理由）",IF(B45="はい","打合せ経費３の変更理由","打合せ経費３の変更理由"))))</f>
        <v>↓</v>
      </c>
      <c r="B58" s="381"/>
      <c r="C58" t="str">
        <f>IF(B45="いいえ","←"&amp;収支予算書!G23&amp;"の変更理由を記入してください","")</f>
        <v/>
      </c>
    </row>
    <row r="59" spans="1:3" x14ac:dyDescent="0.45">
      <c r="A59" t="str">
        <f>IF(B42="","↓",IF(B42="いいえ","↓（打合せ経費４の支出内容）",IF(B46="","↓（打合せ経費４の支出内容）",IF(B46="はい","打合せ経費４の支出内容","↓（打合せ経費４の支出内容）"))))</f>
        <v>↓</v>
      </c>
      <c r="B59" s="381" t="str">
        <f>IF(B46="はい", 収支予算書!G24,"")</f>
        <v/>
      </c>
      <c r="C59" t="str">
        <f>IF(B60="", "", IF(B60*IF(B61="一式",1, B61)&gt;50000, "←交付申請時に見積書を提出していない経費の場合は請求書等の内訳を示すものの添付が必要です", ""))</f>
        <v/>
      </c>
    </row>
    <row r="60" spans="1:3" x14ac:dyDescent="0.45">
      <c r="A60" t="str">
        <f>IF(B42="","↓",IF(B42="いいえ","↓（打合せ経費４の単価（税込）（数字のみ記入））",IF(B46="","↓（打合せ経費４の単価（税込）（数字のみ記入））",IF(B46="はい","打合せ経費４の単価（税込）（数字のみ記入）","↓（打合せ経費４の単価（税込）（数字のみ記入））"))))</f>
        <v>↓</v>
      </c>
      <c r="B60" s="381" t="str">
        <f>IF(B46="はい", 収支予算書!H24,"")</f>
        <v/>
      </c>
      <c r="C60" t="s">
        <v>508</v>
      </c>
    </row>
    <row r="61" spans="1:3" x14ac:dyDescent="0.45">
      <c r="A61" t="str">
        <f>IF(B42="","↓",IF(B42="いいえ","↓（打合せ経費４の（数量）（数字のみ記入））",IF(B46="","↓（打合せ経費４の（数量）（数字のみ記入））",IF(B46="はい","打合せ経費４の（数量）（数字のみ記入）","↓（打合せ経費４の（数量）（数字のみ記入））"))))</f>
        <v>↓</v>
      </c>
      <c r="B61" s="381" t="str">
        <f>IF(B46="はい", 収支予算書!I24,"")</f>
        <v/>
      </c>
      <c r="C61" t="s">
        <v>549</v>
      </c>
    </row>
    <row r="62" spans="1:3" x14ac:dyDescent="0.45">
      <c r="A62" t="str">
        <f>IF(B42="","↓",IF(B42="いいえ","↓（打合せ経費４の変更理由）",IF(B46="","↓（打合せ経費４の変更理由）",IF(B46="はい","打合せ経費４の変更理由","打合せ経費４の変更理由"))))</f>
        <v>↓</v>
      </c>
      <c r="B62" s="381"/>
      <c r="C62" t="str">
        <f>IF(B46="いいえ","←"&amp;収支予算書!G24&amp;"の変更理由を記入してください","")</f>
        <v/>
      </c>
    </row>
    <row r="63" spans="1:3" x14ac:dyDescent="0.45">
      <c r="A63" t="s">
        <v>358</v>
      </c>
      <c r="B63" s="380"/>
      <c r="C63" t="s">
        <v>98</v>
      </c>
    </row>
    <row r="64" spans="1:3" ht="37.200000000000003" customHeight="1" x14ac:dyDescent="0.45">
      <c r="A64" s="119" t="str">
        <f>IF(B63="はい",IF(入力フォーム!B253="","↓", "収支予算書に計上された「"&amp;入力フォーム!B253&amp;"」の支出はありますか"),IF(B63="いいえ","↓","↓"))</f>
        <v>↓</v>
      </c>
      <c r="B64" s="381"/>
      <c r="C64" t="s">
        <v>98</v>
      </c>
    </row>
    <row r="65" spans="1:3" ht="37.200000000000003" customHeight="1" x14ac:dyDescent="0.45">
      <c r="A65" s="119" t="str">
        <f>IF(B63="はい",IF(入力フォーム!B256="","↓", "収支予算書に計上された「"&amp;入力フォーム!B256&amp;"」の支出はありますか"),IF(B63="いいえ","↓","↓"))</f>
        <v>↓</v>
      </c>
      <c r="B65" s="381"/>
      <c r="C65" t="s">
        <v>98</v>
      </c>
    </row>
    <row r="66" spans="1:3" ht="37.200000000000003" customHeight="1" x14ac:dyDescent="0.45">
      <c r="A66" s="119" t="str">
        <f>IF(B63="はい",IF(入力フォーム!B259="","↓", "収支予算書に計上された「"&amp;入力フォーム!B259&amp;"」の支出はありますか"),IF(B63="いいえ","↓","↓"))</f>
        <v>↓</v>
      </c>
      <c r="B66" s="381"/>
      <c r="C66" t="s">
        <v>98</v>
      </c>
    </row>
    <row r="67" spans="1:3" ht="37.200000000000003" customHeight="1" x14ac:dyDescent="0.45">
      <c r="A67" s="119" t="str">
        <f>IF(B63="はい",IF(入力フォーム!B262="","↓", "収支予算書に計上された「"&amp;入力フォーム!B262&amp;"」の支出はありますか"),IF(B63="いいえ","↓","↓"))</f>
        <v>↓</v>
      </c>
      <c r="B67" s="381"/>
      <c r="C67" t="s">
        <v>98</v>
      </c>
    </row>
    <row r="68" spans="1:3" ht="37.200000000000003" customHeight="1" x14ac:dyDescent="0.45">
      <c r="A68" s="119" t="str">
        <f>IF(B63="はい",IF(入力フォーム!B265="","↓", "収支予算書に計上された「"&amp;入力フォーム!B265&amp;"」の支出はありますか"),IF(B63="いいえ","↓","↓"))</f>
        <v>↓</v>
      </c>
      <c r="B68" s="381"/>
      <c r="C68" t="s">
        <v>98</v>
      </c>
    </row>
    <row r="69" spans="1:3" ht="37.200000000000003" customHeight="1" x14ac:dyDescent="0.45">
      <c r="A69" s="119" t="str">
        <f>IF(B63="はい",IF(入力フォーム!B268="","↓", "収支予算書に計上された「"&amp;入力フォーム!B268&amp;"」の支出はありますか"),IF(B63="いいえ","↓","↓"))</f>
        <v>↓</v>
      </c>
      <c r="B69" s="381"/>
      <c r="C69" t="s">
        <v>98</v>
      </c>
    </row>
    <row r="70" spans="1:3" ht="37.200000000000003" customHeight="1" x14ac:dyDescent="0.45">
      <c r="A70" s="119" t="str">
        <f>IF(B63="はい",IF(入力フォーム!B271="","↓", "収支予算書に計上された「"&amp;入力フォーム!B271&amp;"」の支出はありますか"),IF(B63="いいえ","↓","↓"))</f>
        <v>↓</v>
      </c>
      <c r="B70" s="381"/>
      <c r="C70" t="s">
        <v>98</v>
      </c>
    </row>
    <row r="71" spans="1:3" ht="37.200000000000003" customHeight="1" x14ac:dyDescent="0.45">
      <c r="A71" s="119" t="str">
        <f>IF(B63="はい",IF(入力フォーム!B274="","↓", "収支予算書に計上された「"&amp;入力フォーム!B274&amp;"」の支出はありますか"),IF(B63="いいえ","↓","↓"))</f>
        <v>↓</v>
      </c>
      <c r="B71" s="381"/>
      <c r="C71" t="s">
        <v>98</v>
      </c>
    </row>
    <row r="72" spans="1:3" ht="37.200000000000003" customHeight="1" x14ac:dyDescent="0.45">
      <c r="A72" s="119" t="str">
        <f>IF(B63="はい",IF(入力フォーム!B277="","↓", "収支予算書に計上された「"&amp;入力フォーム!B277&amp;"」の支出はありますか"),IF(B63="いいえ","↓","↓"))</f>
        <v>↓</v>
      </c>
      <c r="B72" s="381"/>
      <c r="C72" t="s">
        <v>98</v>
      </c>
    </row>
    <row r="73" spans="1:3" ht="37.200000000000003" customHeight="1" x14ac:dyDescent="0.45">
      <c r="A73" s="119" t="str">
        <f>IF(B63="はい",IF(入力フォーム!B280="","↓", "収支予算書に計上された「"&amp;入力フォーム!B280&amp;"」の支出はありますか"),IF(B63="いいえ","↓","↓"))</f>
        <v>↓</v>
      </c>
      <c r="B73" s="381"/>
      <c r="C73" t="s">
        <v>98</v>
      </c>
    </row>
    <row r="74" spans="1:3" ht="37.200000000000003" customHeight="1" x14ac:dyDescent="0.45">
      <c r="A74" s="119" t="str">
        <f>IF(B63="はい",IF(入力フォーム!B283="","↓", "収支予算書に計上された「"&amp;入力フォーム!B283&amp;"」の支出はありますか"),IF(B63="いいえ","↓","↓"))</f>
        <v>↓</v>
      </c>
      <c r="B74" s="381"/>
      <c r="C74" t="s">
        <v>98</v>
      </c>
    </row>
    <row r="75" spans="1:3" ht="37.200000000000003" customHeight="1" x14ac:dyDescent="0.45">
      <c r="A75" s="119" t="str">
        <f>IF(B63="はい",IF(入力フォーム!B286="","↓", "収支予算書に計上された「"&amp;入力フォーム!B286&amp;"」の支出はありますか"),IF(B63="いいえ","↓","↓"))</f>
        <v>↓</v>
      </c>
      <c r="B75" s="381"/>
      <c r="C75" t="s">
        <v>98</v>
      </c>
    </row>
    <row r="76" spans="1:3" ht="37.200000000000003" customHeight="1" x14ac:dyDescent="0.45">
      <c r="A76" s="119" t="str">
        <f>IF(B63="はい",IF(入力フォーム!B289="","↓", "収支予算書に計上された「"&amp;入力フォーム!B289&amp;"」の支出はありますか"),IF(B63="いいえ","↓","↓"))</f>
        <v>↓</v>
      </c>
      <c r="B76" s="381"/>
      <c r="C76" t="s">
        <v>98</v>
      </c>
    </row>
    <row r="77" spans="1:3" ht="37.200000000000003" customHeight="1" x14ac:dyDescent="0.45">
      <c r="A77" s="119" t="str">
        <f>IF(B63="はい",IF(入力フォーム!B292="","↓", "収支予算書に計上された「"&amp;入力フォーム!B292&amp;"」の支出はありますか"),IF(B63="いいえ","↓","↓"))</f>
        <v>↓</v>
      </c>
      <c r="B77" s="381"/>
      <c r="C77" t="s">
        <v>98</v>
      </c>
    </row>
    <row r="78" spans="1:3" ht="37.200000000000003" customHeight="1" x14ac:dyDescent="0.45">
      <c r="A78" s="119" t="str">
        <f>IF(B63="はい",IF(入力フォーム!B295="","↓", "収支予算書に計上された「"&amp;入力フォーム!B295&amp;"」の支出はありますか"),IF(B63="いいえ","↓","↓"))</f>
        <v>↓</v>
      </c>
      <c r="B78" s="381"/>
      <c r="C78" t="s">
        <v>98</v>
      </c>
    </row>
    <row r="79" spans="1:3" ht="37.200000000000003" customHeight="1" x14ac:dyDescent="0.45">
      <c r="A79" s="119" t="str">
        <f>IF(B63="はい",IF(入力フォーム!B298="","↓", "収支予算書に計上された「"&amp;入力フォーム!B298&amp;"」の支出はありますか"),IF(B63="いいえ","↓","↓"))</f>
        <v>↓</v>
      </c>
      <c r="B79" s="381"/>
      <c r="C79" t="s">
        <v>98</v>
      </c>
    </row>
    <row r="80" spans="1:3" ht="37.200000000000003" customHeight="1" x14ac:dyDescent="0.45">
      <c r="A80" s="119" t="str">
        <f>IF(B63="はい",IF(入力フォーム!B301="","↓", "収支予算書に計上された「"&amp;入力フォーム!B301&amp;"」の支出はありますか"),IF(B63="いいえ","↓","↓"))</f>
        <v>↓</v>
      </c>
      <c r="B80" s="381"/>
      <c r="C80" t="s">
        <v>98</v>
      </c>
    </row>
    <row r="81" spans="1:3" x14ac:dyDescent="0.45">
      <c r="A81" s="16" t="str">
        <f>IF(B63="","↓",IF(B63="いいえ","↓（物品購入費１の支出内容（例：模擬店用食材（焼きそば・フランクフルト・かき氷）)）",IF(B64="","↓（物品購入費１の支出内容（例：模擬店用食材（焼きそば・フランクフルト・かき氷）)）",IF(B64="はい","物品購入費１の支出内容（例：模擬店用食材（焼きそば・フランクフルト・かき氷）)","↓（物品購入費１の支出内容（例：模擬店用食材（焼きそば・フランクフルト・かき氷）)）"))))</f>
        <v>↓</v>
      </c>
      <c r="B81" s="381" t="str">
        <f>IF(B64="はい", 収支予算書!G25,"")</f>
        <v/>
      </c>
      <c r="C81" t="str">
        <f>IF(B82="", "", IF(B82*IF(B83="一式",1, B83)&gt;50000, "←交付申請時に見積書を提出していない経費の場合は請求書等の内訳を示すものの添付が必要です", ""))</f>
        <v/>
      </c>
    </row>
    <row r="82" spans="1:3" x14ac:dyDescent="0.45">
      <c r="A82" t="str">
        <f>IF(B63="","↓",IF(B63="いいえ","↓（物品購入費１の単価（税込）（数字のみ記入））",IF(B64="","↓（物品購入費１の単価（税込）（数字のみ記入））",IF(B64="はい","物品購入費１の単価（税込）（数字のみ記入）","↓（物品購入費１の単価（税込）（数字のみ記入））"))))</f>
        <v>↓</v>
      </c>
      <c r="B82" s="381" t="str">
        <f>IF(B64="はい", 収支予算書!H25,"")</f>
        <v/>
      </c>
      <c r="C82" t="s">
        <v>508</v>
      </c>
    </row>
    <row r="83" spans="1:3" x14ac:dyDescent="0.45">
      <c r="A83" t="str">
        <f>IF(B63="","↓",IF(B63="いいえ","↓（物品購入費１の（数量）（数字のみ記入））",IF(B64="","↓（物品購入費１の（数量）（数字のみ記入））",IF(B64="はい","物品購入費１の（数量）（数字のみ記入）","↓（物品購入費１の（数量）（数字のみ記入））"))))</f>
        <v>↓</v>
      </c>
      <c r="B83" s="381" t="str">
        <f>IF(B64="はい", 収支予算書!I25,"")</f>
        <v/>
      </c>
      <c r="C83" t="s">
        <v>549</v>
      </c>
    </row>
    <row r="84" spans="1:3" x14ac:dyDescent="0.45">
      <c r="A84" t="str">
        <f>IF(B63="","↓",IF(B63="いいえ","↓（物品購入費１の変更理由）",IF(B64="","↓（物品購入費１の変更理由）",IF(B64="はい","物品購入費１の変更理由","物品購入費１の変更理由"))))</f>
        <v>↓</v>
      </c>
      <c r="B84" s="381"/>
      <c r="C84" t="str">
        <f>IF(B64="いいえ","←"&amp;収支予算書!G25&amp;"の変更理由を記入してください","")</f>
        <v/>
      </c>
    </row>
    <row r="85" spans="1:3" x14ac:dyDescent="0.45">
      <c r="A85" t="str">
        <f>IF(B63="","↓",IF(B63="いいえ","↓（物品購入費２の支出内容）",IF(B65="","↓（物品購入費２の支出内容）",IF(B65="はい","物品購入費２の支出内容","↓（物品購入費２の支出内容）"))))</f>
        <v>↓</v>
      </c>
      <c r="B85" s="381" t="str">
        <f>IF(B65="はい", 収支予算書!G26,"")</f>
        <v/>
      </c>
      <c r="C85" t="str">
        <f>IF(B86="", "", IF(B86*IF(B87="一式",1, B87)&gt;50000, "←交付申請時に見積書を提出していない経費の場合は請求書等の内訳を示すものの添付が必要です", ""))</f>
        <v/>
      </c>
    </row>
    <row r="86" spans="1:3" x14ac:dyDescent="0.45">
      <c r="A86" t="str">
        <f>IF(B63="","↓",IF(B63="いいえ","↓（物品購入費２の単価（税込）（数字のみ記入））",IF(B65="","↓（物品購入費２の単価（税込）（数字のみ記入））",IF(B65="はい","物品購入費２の単価（税込）（数字のみ記入）","↓（物品購入費２の単価（税込）（数字のみ記入））"))))</f>
        <v>↓</v>
      </c>
      <c r="B86" s="381" t="str">
        <f>IF(B65="はい", 収支予算書!H26,"")</f>
        <v/>
      </c>
      <c r="C86" t="s">
        <v>508</v>
      </c>
    </row>
    <row r="87" spans="1:3" x14ac:dyDescent="0.45">
      <c r="A87" t="str">
        <f>IF(B63="","↓",IF(B63="いいえ","↓（物品購入費２の（数量）（数字のみ記入））",IF(B65="", "↓（物品購入費２の（数量）（数字のみ記入））",IF(B65="はい","物品購入費２の（数量）（数字のみ記入）","↓（物品購入費２の（数量）（数字のみ記入））"))))</f>
        <v>↓</v>
      </c>
      <c r="B87" s="381" t="str">
        <f>IF(B65="はい", 収支予算書!I26,"")</f>
        <v/>
      </c>
      <c r="C87" t="s">
        <v>549</v>
      </c>
    </row>
    <row r="88" spans="1:3" x14ac:dyDescent="0.45">
      <c r="A88" t="str">
        <f>IF(B63="","↓",IF(B63="いいえ","↓（物品購入費２の変更理由）",IF(B65="","↓（物品購入費２の変更理由）",IF(B65="はい","物品購入費２の変更理由","物品購入費２の変更理由"))))</f>
        <v>↓</v>
      </c>
      <c r="B88" s="381"/>
      <c r="C88" t="str">
        <f>IF(B65="いいえ","←"&amp;収支予算書!G26&amp;"の変更理由を記入してください","")</f>
        <v/>
      </c>
    </row>
    <row r="89" spans="1:3" x14ac:dyDescent="0.45">
      <c r="A89" t="str">
        <f>IF(B63="","↓",IF(B63="いいえ","↓（物品購入費３の支出内容）",IF(B66="","↓（物品購入費３の支出内容）",IF(B66="はい","物品購入費３の支出内容","↓（物品購入費３の支出内容）"))))</f>
        <v>↓</v>
      </c>
      <c r="B89" s="381" t="str">
        <f>IF(B66="はい", 収支予算書!G27,"")</f>
        <v/>
      </c>
      <c r="C89" t="str">
        <f>IF(B90="", "", IF(B90*IF(B91="一式",1, B91)&gt;50000, "←交付申請時に見積書を提出していない経費の場合は請求書等の内訳を示すものの添付が必要です", ""))</f>
        <v/>
      </c>
    </row>
    <row r="90" spans="1:3" x14ac:dyDescent="0.45">
      <c r="A90" t="str">
        <f>IF(B63="","↓",IF(B63="いいえ","↓（物品購入費３の単価（税込）（数字のみ記入））",IF(B66="","↓（物品購入費３の単価（税込）（数字のみ記入））",IF(B66="はい","物品購入費３の単価（税込）（数字のみ記入）","↓（物品購入費３の単価（税込）（数字のみ記入））"))))</f>
        <v>↓</v>
      </c>
      <c r="B90" s="381" t="str">
        <f>IF(B66="はい", 収支予算書!H27,"")</f>
        <v/>
      </c>
      <c r="C90" t="s">
        <v>508</v>
      </c>
    </row>
    <row r="91" spans="1:3" x14ac:dyDescent="0.45">
      <c r="A91" t="str">
        <f>IF(B63="","↓",IF(B63="いいえ","↓（物品購入費３の（数量）（数字のみ記入））",IF(B66="", "↓（物品購入費３の（数量）（数字のみ記入））",IF(B66="はい","物品購入費３の（数量）（数字のみ記入）","↓（物品購入費３の（数量）（数字のみ記入））"))))</f>
        <v>↓</v>
      </c>
      <c r="B91" s="381" t="str">
        <f>IF(B66="はい", 収支予算書!I27,"")</f>
        <v/>
      </c>
      <c r="C91" t="s">
        <v>549</v>
      </c>
    </row>
    <row r="92" spans="1:3" x14ac:dyDescent="0.45">
      <c r="A92" t="str">
        <f>IF(B63="","↓",IF(B63="いいえ","↓（物品購入費２の変更理由）",IF(B66="","↓（物品購入費３の変更理由）",IF(B66="はい","物品購入費３の変更理由","物品購入費３の変更理由"))))</f>
        <v>↓</v>
      </c>
      <c r="B92" s="381"/>
      <c r="C92" t="str">
        <f>IF(B66="いいえ","←"&amp;収支予算書!G27&amp;"の変更理由を記入してください","")</f>
        <v/>
      </c>
    </row>
    <row r="93" spans="1:3" x14ac:dyDescent="0.45">
      <c r="A93" t="str">
        <f>IF(B63="","↓",IF(B63="いいえ","↓（物品購入費４の支出内容）",IF(B67="","↓（物品購入費４の支出内容）",IF(B67="はい","物品購入費４の支出内容","↓（物品購入費４の支出内容）"))))</f>
        <v>↓</v>
      </c>
      <c r="B93" s="381" t="str">
        <f>IF(B67="はい", 収支予算書!G28,"")</f>
        <v/>
      </c>
      <c r="C93" t="str">
        <f>IF(B94="", "", IF(B94*IF(B95="一式",1, B95)&gt;50000, "←交付申請時に見積書を提出していない経費の場合は請求書等の内訳を示すものの添付が必要です", ""))</f>
        <v/>
      </c>
    </row>
    <row r="94" spans="1:3" x14ac:dyDescent="0.45">
      <c r="A94" t="str">
        <f>IF(B63="","↓",IF(B63="いいえ","↓（物品購入費４の単価（税込）（数字のみ記入））",IF(B67="","↓（物品購入費４の単価（税込）（数字のみ記入））",IF(B67="はい","物品購入費４の単価（税込）（数字のみ記入）","↓（物品購入費４の単価（税込）（数字のみ記入））"))))</f>
        <v>↓</v>
      </c>
      <c r="B94" s="381" t="str">
        <f>IF(B67="はい", 収支予算書!H28,"")</f>
        <v/>
      </c>
      <c r="C94" t="s">
        <v>508</v>
      </c>
    </row>
    <row r="95" spans="1:3" x14ac:dyDescent="0.45">
      <c r="A95" t="str">
        <f>IF(B63="","↓",IF(B63="いいえ","↓（物品購入費４の（数量）（数字のみ記入））",IF(B67="", "↓（物品購入費４の（数量）（数字のみ記入））",IF(B67="はい","物品購入費４の（数量）（数字のみ記入）","↓（物品購入費４の（数量）（数字のみ記入））"))))</f>
        <v>↓</v>
      </c>
      <c r="B95" s="381" t="str">
        <f>IF(B67="はい", 収支予算書!I28,"")</f>
        <v/>
      </c>
      <c r="C95" t="s">
        <v>549</v>
      </c>
    </row>
    <row r="96" spans="1:3" x14ac:dyDescent="0.45">
      <c r="A96" t="str">
        <f>IF(B63="","↓",IF(B63="いいえ","↓（物品購入費４の変更理由）",IF(B67="","↓（物品購入費４の変更理由）",IF(B67="はい","物品購入費４の変更理由","物品購入費４の変更理由"))))</f>
        <v>↓</v>
      </c>
      <c r="B96" s="381"/>
      <c r="C96" t="str">
        <f>IF(B67="いいえ","←"&amp;収支予算書!G28&amp;"の変更理由を記入してください","")</f>
        <v/>
      </c>
    </row>
    <row r="97" spans="1:3" x14ac:dyDescent="0.45">
      <c r="A97" t="str">
        <f>IF(B63="","↓",IF(B63="いいえ","↓（物品購入費５の支出内容）",IF(B68="","↓（物品購入費５の支出内容）",IF(B68="はい","物品購入費５の支出内容","↓（物品購入費５の支出内容）"))))</f>
        <v>↓</v>
      </c>
      <c r="B97" s="381" t="str">
        <f>IF(B68="はい", 収支予算書!G29,"")</f>
        <v/>
      </c>
      <c r="C97" t="str">
        <f>IF(B98="", "", IF(B98*IF(B99="一式",1, B99)&gt;50000, "←交付申請時に見積書を提出していない経費の場合は請求書等の内訳を示すものの添付が必要です", ""))</f>
        <v/>
      </c>
    </row>
    <row r="98" spans="1:3" x14ac:dyDescent="0.45">
      <c r="A98" t="str">
        <f>IF(B63="","↓",IF(B63="いいえ","↓（物品購入費５の単価（税込）（数字のみ記入））",IF(B68="","↓（物品購入費５の単価（税込）（数字のみ記入））",IF(B68="はい","物品購入費５の単価（税込）（数字のみ記入）","↓（物品購入費５の単価（税込）（数字のみ記入））"))))</f>
        <v>↓</v>
      </c>
      <c r="B98" s="381" t="str">
        <f>IF(B68="はい", 収支予算書!H29,"")</f>
        <v/>
      </c>
      <c r="C98" t="s">
        <v>508</v>
      </c>
    </row>
    <row r="99" spans="1:3" x14ac:dyDescent="0.45">
      <c r="A99" t="str">
        <f>IF(B63="","↓",IF(B63="いいえ","↓（物品購入費５の（数量）（数字のみ記入））",IF(B68="","↓（物品購入費５の（数量）（数字のみ記入））",IF(B68="はい","物品購入費５の（数量）（数字のみ記入）","↓（物品購入費５の（数量）（数字のみ記入））"))))</f>
        <v>↓</v>
      </c>
      <c r="B99" s="381" t="str">
        <f>IF(B68="はい", 収支予算書!I29,"")</f>
        <v/>
      </c>
      <c r="C99" t="s">
        <v>549</v>
      </c>
    </row>
    <row r="100" spans="1:3" x14ac:dyDescent="0.45">
      <c r="A100" t="str">
        <f>IF(B63="","↓",IF(B63="いいえ","↓（物品購入費５の変更理由）",IF(B68="","↓（物品購入費５の変更理由）",IF(B68="はい","物品購入費５の変更理由","物品購入費５の変更理由"))))</f>
        <v>↓</v>
      </c>
      <c r="B100" s="381"/>
      <c r="C100" t="str">
        <f>IF(B68="いいえ","←"&amp;収支予算書!G29&amp;"の変更理由を記入してください","")</f>
        <v/>
      </c>
    </row>
    <row r="101" spans="1:3" x14ac:dyDescent="0.45">
      <c r="A101" t="str">
        <f>IF(B63="","↓",IF(B63="いいえ","↓（物品購入費６の支出内容）",IF(B69="","↓（物品購入費６の支出内容）",IF(B69="はい","物品購入費６の支出内容","↓（物品購入費６の支出内容）"))))</f>
        <v>↓</v>
      </c>
      <c r="B101" s="381" t="str">
        <f>IF(B69="はい", 収支予算書!G30,"")</f>
        <v/>
      </c>
      <c r="C101" t="str">
        <f>IF(B102="", "", IF(B102*IF(B103="一式",1, B103)&gt;50000, "←交付申請時に見積書を提出していない経費の場合は請求書等の内訳を示すものの添付が必要です", ""))</f>
        <v/>
      </c>
    </row>
    <row r="102" spans="1:3" x14ac:dyDescent="0.45">
      <c r="A102" t="str">
        <f>IF(B63="","↓",IF(B63="いいえ","↓（物品購入費６の単価（税込）（数字のみ記入））",IF(B69="","↓（物品購入費６の単価（税込）（数字のみ記入））",IF(B69="はい","物品購入費６の単価（税込）（数字のみ記入）","↓（物品購入費６の単価（税込）（数字のみ記入））"))))</f>
        <v>↓</v>
      </c>
      <c r="B102" s="381" t="str">
        <f>IF(B69="はい", 収支予算書!H30,"")</f>
        <v/>
      </c>
      <c r="C102" t="s">
        <v>508</v>
      </c>
    </row>
    <row r="103" spans="1:3" x14ac:dyDescent="0.45">
      <c r="A103" t="str">
        <f>IF(B63="","↓",IF(B63="いいえ","↓（物品購入費６の（数量）（数字のみ記入））",IF(B69="","↓（物品購入費６の（数量）（数字のみ記入））",IF(B69="はい","物品購入費６の（数量）（数字のみ記入）","↓（物品購入費６の（数量）（数字のみ記入））"))))</f>
        <v>↓</v>
      </c>
      <c r="B103" s="381" t="str">
        <f>IF(B69="はい", 収支予算書!I30,"")</f>
        <v/>
      </c>
      <c r="C103" t="s">
        <v>549</v>
      </c>
    </row>
    <row r="104" spans="1:3" x14ac:dyDescent="0.45">
      <c r="A104" t="str">
        <f>IF(B63="","↓",IF(B63="いいえ","↓（物品購入費６の変更理由）",IF(B69="","↓（物品購入費６の変更理由）",IF(B69="はい","物品購入費６の変更理由","物品購入費６の変更理由"))))</f>
        <v>↓</v>
      </c>
      <c r="B104" s="381"/>
      <c r="C104" t="str">
        <f>IF(B69="いいえ","←"&amp;収支予算書!G30&amp;"の変更理由を記入してください","")</f>
        <v/>
      </c>
    </row>
    <row r="105" spans="1:3" x14ac:dyDescent="0.45">
      <c r="A105" t="str">
        <f>IF(B63="","↓",IF(B63="いいえ","↓（物品購入費７の支出内容）",IF(B70="","↓（物品購入費７の支出内容）",IF(B70="はい","物品購入費７の支出内容","↓（物品購入費７の支出内容）"))))</f>
        <v>↓</v>
      </c>
      <c r="B105" s="381" t="str">
        <f>IF(B70="はい", 収支予算書!G31,"")</f>
        <v/>
      </c>
      <c r="C105" t="str">
        <f>IF(B106="", "", IF(B106*IF(B107="一式",1, B107)&gt;50000, "←交付申請時に見積書を提出していない経費の場合は請求書等の内訳を示すものの添付が必要です", ""))</f>
        <v/>
      </c>
    </row>
    <row r="106" spans="1:3" x14ac:dyDescent="0.45">
      <c r="A106" t="str">
        <f>IF(B63="","↓",IF(B63="いいえ","↓（物品購入費７の単価（税込）（数字のみ記入））",IF(B70="","↓（物品購入費７の単価（税込）（数字のみ記入））",IF(B70="はい","物品購入費７の単価（税込）（数字のみ記入）","↓（物品購入費７の単価（税込）（数字のみ記入））"))))</f>
        <v>↓</v>
      </c>
      <c r="B106" s="381" t="str">
        <f>IF(B70="はい", 収支予算書!H31,"")</f>
        <v/>
      </c>
      <c r="C106" t="s">
        <v>508</v>
      </c>
    </row>
    <row r="107" spans="1:3" x14ac:dyDescent="0.45">
      <c r="A107" t="str">
        <f>IF(B63="","↓",IF(B63="いいえ","↓（物品購入費７の（数量）（数字のみ記入））",IF(B70="","↓（物品購入費７の（数量）（数字のみ記入））",IF(B70="はい","物品購入費７の（数量）（数字のみ記入）","↓（物品購入費７の（数量）（数字のみ記入））"))))</f>
        <v>↓</v>
      </c>
      <c r="B107" s="381" t="str">
        <f>IF(B70="はい", 収支予算書!I31,"")</f>
        <v/>
      </c>
      <c r="C107" t="s">
        <v>549</v>
      </c>
    </row>
    <row r="108" spans="1:3" x14ac:dyDescent="0.45">
      <c r="A108" t="str">
        <f>IF(B63="","↓",IF(B63="いいえ","↓（物品購入費７の変更理由）",IF(B70="","↓（物品購入費７の変更理由）",IF(B70="はい","物品購入費７の変更理由","物品購入費７の変更理由"))))</f>
        <v>↓</v>
      </c>
      <c r="B108" s="381"/>
      <c r="C108" t="str">
        <f>IF(B70="いいえ","←"&amp;収支予算書!G31&amp;"の変更理由を記入してください","")</f>
        <v/>
      </c>
    </row>
    <row r="109" spans="1:3" x14ac:dyDescent="0.45">
      <c r="A109" t="str">
        <f>IF(B63="","↓",IF(B63="いいえ","↓（物品購入費８の支出内容）",IF(B71="","↓（物品購入費８の支出内容）",IF(B71="はい","物品購入費８の支出内容","↓（物品購入費８の支出内容）"))))</f>
        <v>↓</v>
      </c>
      <c r="B109" s="381" t="str">
        <f>IF(B71="はい", 収支予算書!G32,"")</f>
        <v/>
      </c>
      <c r="C109" t="str">
        <f>IF(B110="", "", IF(B110*IF(B111="一式",1, B111)&gt;50000, "←交付申請時に見積書を提出していない経費の場合は請求書等の内訳を示すものの添付が必要です", ""))</f>
        <v/>
      </c>
    </row>
    <row r="110" spans="1:3" x14ac:dyDescent="0.45">
      <c r="A110" t="str">
        <f>IF(B63="","↓",IF(B63="いいえ","↓（物品購入費８の単価（税込）（数字のみ記入））",IF(B71="","↓（物品購入費８の単価（税込）（数字のみ記入））",IF(B71="はい","物品購入費８の単価（税込）（数字のみ記入）","↓（物品購入費８の単価（税込）（数字のみ記入））"))))</f>
        <v>↓</v>
      </c>
      <c r="B110" s="381" t="str">
        <f>IF(B71="はい", 収支予算書!H32,"")</f>
        <v/>
      </c>
      <c r="C110" t="s">
        <v>508</v>
      </c>
    </row>
    <row r="111" spans="1:3" x14ac:dyDescent="0.45">
      <c r="A111" t="str">
        <f>IF(B63="","↓",IF(B63="いいえ","↓（物品購入費８の（数量）（数字のみ記入））",IF(B71="","↓（物品購入費８の（数量）（数字のみ記入））",IF(B71="はい","物品購入費８の（数量）（数字のみ記入）","↓（物品購入費８の（数量）（数字のみ記入））"))))</f>
        <v>↓</v>
      </c>
      <c r="B111" s="381" t="str">
        <f>IF(B71="はい", 収支予算書!I32,"")</f>
        <v/>
      </c>
      <c r="C111" t="s">
        <v>549</v>
      </c>
    </row>
    <row r="112" spans="1:3" x14ac:dyDescent="0.45">
      <c r="A112" t="str">
        <f>IF(B63="","↓",IF(B63="いいえ","↓（物品購入費８の変更理由）",IF(B71="","↓（物品購入費８の変更理由）",IF(B71="はい","物品購入費８の変更理由","物品購入費８の変更理由"))))</f>
        <v>↓</v>
      </c>
      <c r="B112" s="381"/>
      <c r="C112" t="str">
        <f>IF(B71="いいえ","←"&amp;収支予算書!G32&amp;"の変更理由を記入してください","")</f>
        <v/>
      </c>
    </row>
    <row r="113" spans="1:3" x14ac:dyDescent="0.45">
      <c r="A113" t="str">
        <f>IF(B63="","↓",IF(B63="いいえ","↓（物品購入費９の支出内容）",IF(B72="","↓（物品購入費９の支出内容）",IF(B72="はい","物品購入費９の支出内容","↓（物品購入費９の支出内容）"))))</f>
        <v>↓</v>
      </c>
      <c r="B113" s="381" t="str">
        <f>IF(B72="はい", 収支予算書!G33,"")</f>
        <v/>
      </c>
      <c r="C113" t="str">
        <f>IF(B114="", "", IF(B114*IF(B115="一式",1, B115)&gt;50000, "←交付申請時に見積書を提出していない経費の場合は請求書等の内訳を示すものの添付が必要です", ""))</f>
        <v/>
      </c>
    </row>
    <row r="114" spans="1:3" x14ac:dyDescent="0.45">
      <c r="A114" t="str">
        <f>IF(B63="","↓",IF(B63="いいえ","↓（物品購入費９の単価（税込）（数字のみ記入））",IF(B72="","↓（物品購入費９の単価（税込）（数字のみ記入））",IF(B72="はい","物品購入費９の単価（税込）（数字のみ記入）","↓（物品購入費９の単価（税込）（数字のみ記入））"))))</f>
        <v>↓</v>
      </c>
      <c r="B114" s="381" t="str">
        <f>IF(B72="はい", 収支予算書!H33,"")</f>
        <v/>
      </c>
      <c r="C114" t="s">
        <v>508</v>
      </c>
    </row>
    <row r="115" spans="1:3" x14ac:dyDescent="0.45">
      <c r="A115" t="str">
        <f>IF(B63="","↓",IF(B63="いいえ","↓（物品購入費９の（数量）（数字のみ記入））",IF(B72="","↓（物品購入費９の（数量）（数字のみ記入））",IF(B72="はい","物品購入費９の（数量）（数字のみ記入）","↓（物品購入費９の（数量）（数字のみ記入））"))))</f>
        <v>↓</v>
      </c>
      <c r="B115" s="381" t="str">
        <f>IF(B72="はい", 収支予算書!I33,"")</f>
        <v/>
      </c>
      <c r="C115" t="s">
        <v>549</v>
      </c>
    </row>
    <row r="116" spans="1:3" x14ac:dyDescent="0.45">
      <c r="A116" t="str">
        <f>IF(B63="","↓",IF(B63="いいえ","↓（物品購入費９の変更理由）",IF(B72="","↓（物品購入費９の変更理由）",IF(B72="はい","物品購入費９の変更理由","物品購入費９の変更理由"))))</f>
        <v>↓</v>
      </c>
      <c r="B116" s="381"/>
      <c r="C116" t="str">
        <f>IF(B72="いいえ","←"&amp;収支予算書!G33&amp;"の変更理由を記入してください","")</f>
        <v/>
      </c>
    </row>
    <row r="117" spans="1:3" x14ac:dyDescent="0.45">
      <c r="A117" t="str">
        <f>IF(B63="","↓",IF(B63="いいえ","↓（物品購入費10の支出内容）",IF(B73="","↓（物品購入費10の支出内容）",IF(B73="はい","物品購入費10の支出内容","↓（物品購入費10の支出内容）"))))</f>
        <v>↓</v>
      </c>
      <c r="B117" s="381" t="str">
        <f>IF(B73="はい", 収支予算書!G34,"")</f>
        <v/>
      </c>
      <c r="C117" t="str">
        <f>IF(B118="", "", IF(B118*IF(B119="一式",1, B119)&gt;50000, "←交付申請時に見積書を提出していない経費の場合は請求書等の内訳を示すものの添付が必要です", ""))</f>
        <v/>
      </c>
    </row>
    <row r="118" spans="1:3" x14ac:dyDescent="0.45">
      <c r="A118" t="str">
        <f>IF(B63="","↓",IF(B63="いいえ","↓（物品購入費10の単価（税込）（数字のみ記入））",IF(B73="","↓（物品購入費10の単価（税込）（数字のみ記入））",IF(B73="はい","物品購入費10の単価（税込）（数字のみ記入）","↓（物品購入費10の単価（税込）（数字のみ記入））"))))</f>
        <v>↓</v>
      </c>
      <c r="B118" s="381" t="str">
        <f>IF(B73="はい", 収支予算書!H34,"")</f>
        <v/>
      </c>
      <c r="C118" t="s">
        <v>508</v>
      </c>
    </row>
    <row r="119" spans="1:3" x14ac:dyDescent="0.45">
      <c r="A119" t="str">
        <f>IF(B63="","↓",IF(B63="いいえ","↓（物品購入費10の（数量）（数字のみ記入））",IF(B73="","↓（物品購入費10の（数量）（数字のみ記入））",IF(B73="はい","物品購入費10の（数量）（数字のみ記入）","↓（物品購入費10の（数量）（数字のみ記入））"))))</f>
        <v>↓</v>
      </c>
      <c r="B119" s="381" t="str">
        <f>IF(B73="はい", 収支予算書!I34,"")</f>
        <v/>
      </c>
      <c r="C119" t="s">
        <v>549</v>
      </c>
    </row>
    <row r="120" spans="1:3" x14ac:dyDescent="0.45">
      <c r="A120" t="str">
        <f>IF(B63="","↓",IF(B63="いいえ","↓（物品購入費10の変更理由）",IF(B73="","↓（物品購入費10の変更理由）",IF(B73="はい","物品購入費10の変更理由","物品購入費10の変更理由"))))</f>
        <v>↓</v>
      </c>
      <c r="B120" s="381"/>
      <c r="C120" t="str">
        <f>IF(B73="いいえ","←"&amp;収支予算書!G34&amp;"の変更理由を記入してください","")</f>
        <v/>
      </c>
    </row>
    <row r="121" spans="1:3" x14ac:dyDescent="0.45">
      <c r="A121" t="str">
        <f>IF(B63="","↓",IF(B63="いいえ","↓（物品購入費11の支出内容）",IF(B74="","↓（物品購入費11の支出内容）",IF(B74="はい","物品購入費11の支出内容","↓（物品購入費11の支出内容）"))))</f>
        <v>↓</v>
      </c>
      <c r="B121" s="381" t="str">
        <f>IF(B74="はい", 収支予算書!G35,"")</f>
        <v/>
      </c>
      <c r="C121" t="str">
        <f>IF(B122="", "", IF(B122*IF(B123="一式",1, B123)&gt;50000, "←交付申請時に見積書を提出していない経費の場合は請求書等の内訳を示すものの添付が必要です", ""))</f>
        <v/>
      </c>
    </row>
    <row r="122" spans="1:3" x14ac:dyDescent="0.45">
      <c r="A122" t="str">
        <f>IF(B63="","↓",IF(B63="いいえ","↓（物品購入費11の単価（税込）（数字のみ記入））",IF(B74="","↓（物品購入費11の単価（税込）（数字のみ記入））",IF(B74="はい","物品購入費11の単価（税込）（数字のみ記入）","↓（物品購入費11の単価（税込）（数字のみ記入））"))))</f>
        <v>↓</v>
      </c>
      <c r="B122" s="381" t="str">
        <f>IF(B74="はい", 収支予算書!H35,"")</f>
        <v/>
      </c>
      <c r="C122" t="s">
        <v>508</v>
      </c>
    </row>
    <row r="123" spans="1:3" x14ac:dyDescent="0.45">
      <c r="A123" t="str">
        <f>IF(B63="","↓",IF(B63="いいえ","↓（物品購入費11の（数量）（数字のみ記入））",IF(B74="","↓（物品購入費11の（数量）（数字のみ記入））",IF(B74="はい","物品購入費11の（数量）（数字のみ記入）","↓（物品購入費11の（数量）（数字のみ記入））"))))</f>
        <v>↓</v>
      </c>
      <c r="B123" s="381" t="str">
        <f>IF(B74="はい", 収支予算書!I35,"")</f>
        <v/>
      </c>
      <c r="C123" t="s">
        <v>549</v>
      </c>
    </row>
    <row r="124" spans="1:3" x14ac:dyDescent="0.45">
      <c r="A124" t="str">
        <f>IF(B63="","↓",IF(B63="いいえ","↓（物品購入費11の変更理由）",IF(B74="","↓（物品購入費11の変更理由）",IF(B74="はい","物品購入費11の変更理由","物品購入費11の変更理由"))))</f>
        <v>↓</v>
      </c>
      <c r="B124" s="381"/>
      <c r="C124" t="str">
        <f>IF(B74="いいえ","←"&amp;収支予算書!G35&amp;"の変更理由を記入してください","")</f>
        <v/>
      </c>
    </row>
    <row r="125" spans="1:3" x14ac:dyDescent="0.45">
      <c r="A125" t="str">
        <f>IF(B63="","↓",IF(B63="いいえ","↓（物品購入費12の支出内容）",IF(B75="","↓（物品購入費12の支出内容）",IF(B75="はい","物品購入費12の支出内容","↓（物品購入費12の支出内容）"))))</f>
        <v>↓</v>
      </c>
      <c r="B125" s="381" t="str">
        <f>IF(B75="はい", 収支予算書!G36,"")</f>
        <v/>
      </c>
      <c r="C125" t="str">
        <f>IF(B126="", "", IF(B126*IF(B127="一式",1, B127)&gt;50000, "←交付申請時に見積書を提出していない経費の場合は請求書等の内訳を示すものの添付が必要です", ""))</f>
        <v/>
      </c>
    </row>
    <row r="126" spans="1:3" x14ac:dyDescent="0.45">
      <c r="A126" t="str">
        <f>IF(B63="","↓",IF(B63="いいえ","↓（物品購入費12の単価（税込）（数字のみ記入））",IF(B75="","↓（物品購入費12の単価（税込）（数字のみ記入））",IF(B75="はい","物品購入費12の単価（税込）（数字のみ記入）","↓（物品購入費12の単価（税込）（数字のみ記入））"))))</f>
        <v>↓</v>
      </c>
      <c r="B126" s="381" t="str">
        <f>IF(B75="はい", 収支予算書!H36,"")</f>
        <v/>
      </c>
      <c r="C126" t="s">
        <v>508</v>
      </c>
    </row>
    <row r="127" spans="1:3" x14ac:dyDescent="0.45">
      <c r="A127" t="str">
        <f>IF(B63="","↓",IF(B63="いいえ","↓（物品購入費12の（数量）（数字のみ記入））",IF(B75="","↓（物品購入費12の（数量）（数字のみ記入））",IF(B75="はい","物品購入費12の（数量）（数字のみ記入）","↓（物品購入費12の（数量）（数字のみ記入））"))))</f>
        <v>↓</v>
      </c>
      <c r="B127" s="381" t="str">
        <f>IF(B75="はい", 収支予算書!I36,"")</f>
        <v/>
      </c>
      <c r="C127" t="s">
        <v>549</v>
      </c>
    </row>
    <row r="128" spans="1:3" x14ac:dyDescent="0.45">
      <c r="A128" t="str">
        <f>IF(B63="","↓",IF(B63="いいえ","↓（物品購入費12の変更理由）",IF(B75="","↓（物品購入費12の変更理由）",IF(B75="はい","物品購入費12の変更理由","物品購入費12の変更理由"))))</f>
        <v>↓</v>
      </c>
      <c r="B128" s="381"/>
      <c r="C128" t="str">
        <f>IF(B75="いいえ","←"&amp;収支予算書!G36&amp;"の変更理由を記入してください","")</f>
        <v/>
      </c>
    </row>
    <row r="129" spans="1:3" x14ac:dyDescent="0.45">
      <c r="A129" t="str">
        <f>IF(B63="","↓",IF(B63="いいえ","↓（物品購入費13の支出内容）",IF(B76="","↓（物品購入費13の支出内容）",IF(B76="はい","物品購入費13の支出内容","↓（物品購入費13の支出内容）"))))</f>
        <v>↓</v>
      </c>
      <c r="B129" s="381" t="str">
        <f>IF(B76="はい", 収支予算書!G37,"")</f>
        <v/>
      </c>
      <c r="C129" t="str">
        <f>IF(B130="", "", IF(B130*IF(B131="一式",1, B131)&gt;50000, "←交付申請時に見積書を提出していない経費の場合は請求書等の内訳を示すものの添付が必要です", ""))</f>
        <v/>
      </c>
    </row>
    <row r="130" spans="1:3" x14ac:dyDescent="0.45">
      <c r="A130" t="str">
        <f>IF(B63="","↓",IF(B63="いいえ","↓（物品購入費13の単価（税込）（数字のみ記入））",IF(B76="","↓（物品購入費13の単価（税込）（数字のみ記入））",IF(B76="はい","物品購入費13の単価（税込）（数字のみ記入）","↓（物品購入費13の単価（税込）（数字のみ記入））"))))</f>
        <v>↓</v>
      </c>
      <c r="B130" s="381" t="str">
        <f>IF(B76="はい", 収支予算書!H37,"")</f>
        <v/>
      </c>
      <c r="C130" t="s">
        <v>508</v>
      </c>
    </row>
    <row r="131" spans="1:3" x14ac:dyDescent="0.45">
      <c r="A131" t="str">
        <f>IF(B63="","↓",IF(B63="いいえ","↓（物品購入費13の（数量）（数字のみ記入））",IF(B76="","↓（物品購入費13の（数量）（数字のみ記入））",IF(B76="はい","物品購入費13の（数量）（数字のみ記入）","↓（物品購入費13の（数量）（数字のみ記入））"))))</f>
        <v>↓</v>
      </c>
      <c r="B131" s="381" t="str">
        <f>IF(B76="はい", 収支予算書!I37,"")</f>
        <v/>
      </c>
      <c r="C131" t="s">
        <v>549</v>
      </c>
    </row>
    <row r="132" spans="1:3" x14ac:dyDescent="0.45">
      <c r="A132" t="str">
        <f>IF(B63="","↓",IF(B63="いいえ","↓（物品購入費13の変更理由）",IF(B76="","↓（物品購入費13の変更理由）",IF(B76="はい","物品購入費13の変更理由","物品購入費13の変更理由"))))</f>
        <v>↓</v>
      </c>
      <c r="B132" s="381"/>
      <c r="C132" t="str">
        <f>IF(B76="いいえ","←"&amp;収支予算書!G37&amp;"の変更理由を記入してください","")</f>
        <v/>
      </c>
    </row>
    <row r="133" spans="1:3" x14ac:dyDescent="0.45">
      <c r="A133" t="str">
        <f>IF(B63="","↓",IF(B63="いいえ","↓（物品購入費14の支出内容）",IF(B77="","↓（物品購入費14の支出内容）",IF(B77="はい","物品購入費14の支出内容","↓（物品購入費14の支出内容）"))))</f>
        <v>↓</v>
      </c>
      <c r="B133" s="381" t="str">
        <f>IF(B77="はい", 収支予算書!G38,"")</f>
        <v/>
      </c>
      <c r="C133" t="str">
        <f>IF(B134="", "", IF(B134*IF(B135="一式",1, B135)&gt;50000, "←交付申請時に見積書を提出していない経費の場合は請求書等の内訳を示すものの添付が必要です", ""))</f>
        <v/>
      </c>
    </row>
    <row r="134" spans="1:3" x14ac:dyDescent="0.45">
      <c r="A134" t="str">
        <f>IF(B63="","↓",IF(B63="いいえ","↓（物品購入費14の単価（税込）（数字のみ記入））",IF(B77="","↓（物品購入費14の単価（税込）（数字のみ記入））",IF(B77="はい","物品購入費14の単価（税込）（数字のみ記入）","↓（物品購入費14の単価（税込）（数字のみ記入））"))))</f>
        <v>↓</v>
      </c>
      <c r="B134" s="381" t="str">
        <f>IF(B77="はい", 収支予算書!H38,"")</f>
        <v/>
      </c>
      <c r="C134" t="s">
        <v>508</v>
      </c>
    </row>
    <row r="135" spans="1:3" x14ac:dyDescent="0.45">
      <c r="A135" t="str">
        <f>IF(B63="","↓",IF(B63="いいえ","↓（物品購入費14の（数量）（数字のみ記入））",IF(B77="","↓（物品購入費14の（数量）（数字のみ記入））",IF(B77="はい","物品購入費14の（数量）（数字のみ記入）","↓（物品購入費14の（数量）（数字のみ記入））"))))</f>
        <v>↓</v>
      </c>
      <c r="B135" s="381" t="str">
        <f>IF(B77="はい", 収支予算書!I38,"")</f>
        <v/>
      </c>
      <c r="C135" t="s">
        <v>549</v>
      </c>
    </row>
    <row r="136" spans="1:3" x14ac:dyDescent="0.45">
      <c r="A136" t="str">
        <f>IF(B63="","↓",IF(B63="いいえ","↓（物品購入費14の変更理由）",IF(B77="","↓（物品購入費14の変更理由）",IF(B77="はい","物品購入費14の変更理由","物品購入費14の変更理由"))))</f>
        <v>↓</v>
      </c>
      <c r="B136" s="381"/>
      <c r="C136" t="str">
        <f>IF(B77="いいえ","←"&amp;収支予算書!G38&amp;"の変更理由を記入してください","")</f>
        <v/>
      </c>
    </row>
    <row r="137" spans="1:3" x14ac:dyDescent="0.45">
      <c r="A137" t="str">
        <f>IF(B63="","↓",IF(B63="いいえ","↓（物品購入費15の支出内容）",IF(B78="","↓（物品購入費15の支出内容）",IF(B78="はい","物品購入費15の支出内容","↓（物品購入費15の支出内容）"))))</f>
        <v>↓</v>
      </c>
      <c r="B137" s="381" t="str">
        <f>IF(B78="はい", 収支予算書!G39,"")</f>
        <v/>
      </c>
      <c r="C137" t="str">
        <f>IF(B138="", "", IF(B138*IF(B139="一式",1, B139)&gt;50000, "←交付申請時に見積書を提出していない経費の場合は請求書等の内訳を示すものの添付が必要です", ""))</f>
        <v/>
      </c>
    </row>
    <row r="138" spans="1:3" x14ac:dyDescent="0.45">
      <c r="A138" t="str">
        <f>IF(B63="","↓",IF(B63="いいえ","↓（物品購入費15の単価（税込）（数字のみ記入））",IF(B78="","↓（物品購入費15の単価（税込）（数字のみ記入））",IF(B78="はい","物品購入費15の単価（税込）（数字のみ記入）","↓（物品購入費15の単価（税込）（数字のみ記入））"))))</f>
        <v>↓</v>
      </c>
      <c r="B138" s="381" t="str">
        <f>IF(B78="はい", 収支予算書!H39,"")</f>
        <v/>
      </c>
      <c r="C138" t="s">
        <v>508</v>
      </c>
    </row>
    <row r="139" spans="1:3" x14ac:dyDescent="0.45">
      <c r="A139" t="str">
        <f>IF(B63="","↓",IF(B63="いいえ","↓（物品購入費15の（数量）（数字のみ記入））",IF(B78="","↓（物品購入費15の（数量）（数字のみ記入））",IF(B78="はい","物品購入費15の（数量）（数字のみ記入）","↓（物品購入費15の（数量）（数字のみ記入））"))))</f>
        <v>↓</v>
      </c>
      <c r="B139" s="381" t="str">
        <f>IF(B78="はい", 収支予算書!I39,"")</f>
        <v/>
      </c>
      <c r="C139" t="s">
        <v>549</v>
      </c>
    </row>
    <row r="140" spans="1:3" x14ac:dyDescent="0.45">
      <c r="A140" t="str">
        <f>IF(B63="","↓",IF(B63="いいえ","↓（物品購入費15の変更理由）",IF(B78="","↓（物品購入費15の変更理由）",IF(B78="はい","物品購入費15の変更理由","物品購入費15の変更理由"))))</f>
        <v>↓</v>
      </c>
      <c r="B140" s="381"/>
      <c r="C140" t="str">
        <f>IF(B78="いいえ","←"&amp;収支予算書!G39&amp;"の変更理由を記入してください","")</f>
        <v/>
      </c>
    </row>
    <row r="141" spans="1:3" x14ac:dyDescent="0.45">
      <c r="A141" t="str">
        <f>IF(B63="","↓",IF(B63="いいえ","↓（物品購入費16の支出内容）",IF(B79="","↓（物品購入費16の支出内容）",IF(B79="はい","物品購入費16の支出内容","↓（物品購入費16の支出内容）"))))</f>
        <v>↓</v>
      </c>
      <c r="B141" s="381" t="str">
        <f>IF(B79="はい", 収支予算書!G40,"")</f>
        <v/>
      </c>
      <c r="C141" t="str">
        <f>IF(B142="", "", IF(B142*IF(B143="一式",1, B143)&gt;50000, "←交付申請時に見積書を提出していない経費の場合は請求書等の内訳を示すものの添付が必要です", ""))</f>
        <v/>
      </c>
    </row>
    <row r="142" spans="1:3" x14ac:dyDescent="0.45">
      <c r="A142" t="str">
        <f>IF(B63="","↓",IF(B63="いいえ","↓（物品購入費16の単価（税込）（数字のみ記入））",IF(B79="","↓（物品購入費16の単価（税込）（数字のみ記入））",IF(B79="はい","物品購入費16の単価（税込）（数字のみ記入）","↓（物品購入費16の単価（税込）（数字のみ記入））"))))</f>
        <v>↓</v>
      </c>
      <c r="B142" s="381" t="str">
        <f>IF(B79="はい", 収支予算書!H40,"")</f>
        <v/>
      </c>
      <c r="C142" t="s">
        <v>508</v>
      </c>
    </row>
    <row r="143" spans="1:3" x14ac:dyDescent="0.45">
      <c r="A143" t="str">
        <f>IF(B63="","↓",IF(B63="いいえ","↓（物品購入費16の（数量）（数字のみ記入））",IF(B79="","↓（物品購入費16の（数量）（数字のみ記入））",IF(B79="はい","物品購入費16の（数量）（数字のみ記入）","↓（物品購入費16の（数量）（数字のみ記入））"))))</f>
        <v>↓</v>
      </c>
      <c r="B143" s="381" t="str">
        <f>IF(B79="はい", 収支予算書!I40,"")</f>
        <v/>
      </c>
      <c r="C143" t="s">
        <v>549</v>
      </c>
    </row>
    <row r="144" spans="1:3" x14ac:dyDescent="0.45">
      <c r="A144" t="str">
        <f>IF(B63="","↓",IF(B63="いいえ","↓（物品購入費16の変更理由）",IF(B79="","↓（物品購入費16の変更理由）",IF(B79="はい","物品購入費16の変更理由","物品購入費16の変更理由"))))</f>
        <v>↓</v>
      </c>
      <c r="B144" s="381"/>
      <c r="C144" t="str">
        <f>IF(B79="いいえ","←"&amp;収支予算書!G40&amp;"の変更理由を記入してください","")</f>
        <v/>
      </c>
    </row>
    <row r="145" spans="1:3" x14ac:dyDescent="0.45">
      <c r="A145" t="str">
        <f>IF(B63="","↓",IF(B63="いいえ","↓（物品購入費17の支出内容）",IF(B80="","↓（物品購入費17の支出内容）",IF(B80="はい","物品購入費17の支出内容","↓（物品購入費17の支出内容）"))))</f>
        <v>↓</v>
      </c>
      <c r="B145" s="381" t="str">
        <f>IF(B80="はい", 収支予算書!G41,"")</f>
        <v/>
      </c>
      <c r="C145" t="str">
        <f>IF(B146="", "", IF(B146*IF(B147="一式",1, B147)&gt;50000, "←交付申請時に見積書を提出していない経費の場合は請求書等の内訳を示すものの添付が必要です", ""))</f>
        <v/>
      </c>
    </row>
    <row r="146" spans="1:3" x14ac:dyDescent="0.45">
      <c r="A146" t="str">
        <f>IF(B63="","↓",IF(B63="いいえ","↓（物品購入費17の単価（税込）（数字のみ記入））",IF(B80="","↓（物品購入費17の単価（税込）（数字のみ記入））",IF(B80="はい","物品購入費17の単価（税込）（数字のみ記入）","↓（物品購入費17の単価（税込）（数字のみ記入））"))))</f>
        <v>↓</v>
      </c>
      <c r="B146" s="381" t="str">
        <f>IF(B80="はい", 収支予算書!H41,"")</f>
        <v/>
      </c>
      <c r="C146" t="s">
        <v>508</v>
      </c>
    </row>
    <row r="147" spans="1:3" x14ac:dyDescent="0.45">
      <c r="A147" t="str">
        <f>IF(B63="","↓",IF(B63="いいえ","↓（物品購入費17の（数量）（数字のみ記入））",IF(B80="","↓（物品購入費17の（数量）（数字のみ記入））",IF(B80="はい","物品購入費17の（数量）（数字のみ記入）","↓（物品購入費17の（数量）（数字のみ記入））"))))</f>
        <v>↓</v>
      </c>
      <c r="B147" s="381" t="str">
        <f>IF(B80="はい", 収支予算書!I41,"")</f>
        <v/>
      </c>
      <c r="C147" t="s">
        <v>549</v>
      </c>
    </row>
    <row r="148" spans="1:3" x14ac:dyDescent="0.45">
      <c r="A148" t="str">
        <f>IF(B63="","↓",IF(B63="いいえ","↓（物品購入費17の変更理由）",IF(B80="","↓（物品購入費17の変更理由）",IF(B80="はい","物品購入費17の変更理由","物品購入費17の変更理由"))))</f>
        <v>↓</v>
      </c>
      <c r="B148" s="381"/>
      <c r="C148" t="str">
        <f>IF(B80="いいえ","←"&amp;収支予算書!G41&amp;"の変更理由を記入してください","")</f>
        <v/>
      </c>
    </row>
    <row r="149" spans="1:3" x14ac:dyDescent="0.45">
      <c r="A149" t="s">
        <v>359</v>
      </c>
      <c r="B149" s="380"/>
      <c r="C149" t="s">
        <v>98</v>
      </c>
    </row>
    <row r="150" spans="1:3" ht="37.799999999999997" customHeight="1" x14ac:dyDescent="0.45">
      <c r="A150" s="119" t="str">
        <f>IF(B149="はい",IF(入力フォーム!B305="","↓", "収支予算書に計上された「"&amp;入力フォーム!B305&amp;"」の支出はありますか"),IF(B149="いいえ","↓","↓"))</f>
        <v>↓</v>
      </c>
      <c r="B150" s="381"/>
      <c r="C150" t="s">
        <v>98</v>
      </c>
    </row>
    <row r="151" spans="1:3" ht="37.799999999999997" customHeight="1" x14ac:dyDescent="0.45">
      <c r="A151" s="119" t="str">
        <f>IF(B149="はい",IF(入力フォーム!B308="","↓", "収支予算書に計上された「"&amp;入力フォーム!B308&amp;"」の支出はありますか"),IF(B149="いいえ","↓","↓"))</f>
        <v>↓</v>
      </c>
      <c r="B151" s="381"/>
      <c r="C151" t="s">
        <v>98</v>
      </c>
    </row>
    <row r="152" spans="1:3" ht="37.799999999999997" customHeight="1" x14ac:dyDescent="0.45">
      <c r="A152" s="119" t="str">
        <f>IF(B149="はい",IF(入力フォーム!B311="","↓", "収支予算書に計上された「"&amp;入力フォーム!B311&amp;"」の支出はありますか"),IF(B149="いいえ","↓","↓"))</f>
        <v>↓</v>
      </c>
      <c r="B152" s="381"/>
      <c r="C152" t="s">
        <v>98</v>
      </c>
    </row>
    <row r="153" spans="1:3" ht="37.799999999999997" customHeight="1" x14ac:dyDescent="0.45">
      <c r="A153" s="119" t="str">
        <f>IF(B149="はい",IF(入力フォーム!B314="","↓", "収支予算書に計上された「"&amp;入力フォーム!B314&amp;"」の支出はありますか"),IF(B149="いいえ","↓","↓"))</f>
        <v>↓</v>
      </c>
      <c r="B153" s="381"/>
      <c r="C153" t="s">
        <v>98</v>
      </c>
    </row>
    <row r="154" spans="1:3" x14ac:dyDescent="0.45">
      <c r="A154" s="16" t="str">
        <f>IF(B149="","↓",IF(B149="いいえ","↓（印刷経費１の支出内容）",IF(B150="","↓（印刷経費１の支出内容）",IF(B150="はい","印刷経費１の支出内容（例：周知用ポスターの印刷150部)","↓（印刷経費１の支出内容）"))))</f>
        <v>↓</v>
      </c>
      <c r="B154" s="381" t="str">
        <f>IF(B150="はい", 収支予算書!G42,"")</f>
        <v/>
      </c>
      <c r="C154" t="str">
        <f>IF(B155="", "", IF(B155*IF(B156="一式",1, B156)&gt;50000, "←交付申請時に見積書を提出していない経費の場合は請求書等の内訳を示すものの添付が必要です", ""))</f>
        <v/>
      </c>
    </row>
    <row r="155" spans="1:3" x14ac:dyDescent="0.45">
      <c r="A155" t="str">
        <f>IF(B149="","↓",IF(B149="いいえ","↓（印刷経費１の単価（税込）（数字のみ記入））",IF(B150="","↓（印刷経費１の単価（税込）（数字のみ記入））",IF(B150="はい","印刷経費１の単価（税込）（数字のみ記入）","↓（印刷経費１の単価（税込）（数字のみ記入））"))))</f>
        <v>↓</v>
      </c>
      <c r="B155" s="381" t="str">
        <f>IF(B150="はい", 収支予算書!H42,"")</f>
        <v/>
      </c>
      <c r="C155" t="s">
        <v>508</v>
      </c>
    </row>
    <row r="156" spans="1:3" x14ac:dyDescent="0.45">
      <c r="A156" t="str">
        <f>IF(B149="","↓",IF(B149="いいえ","↓（印刷経費１の（数量）（数字のみ記入））",IF(B150="","↓（印刷経費１の（数量）（数字のみ記入））",IF(B150="はい","印刷経費１の（数量）（数字のみ記入）","↓（印刷経費１の（数量）（数字のみ記入））"))))</f>
        <v>↓</v>
      </c>
      <c r="B156" s="381" t="str">
        <f>IF(B150="はい", 収支予算書!I42,"")</f>
        <v/>
      </c>
      <c r="C156" t="s">
        <v>549</v>
      </c>
    </row>
    <row r="157" spans="1:3" x14ac:dyDescent="0.45">
      <c r="A157" t="str">
        <f>IF(B149="","↓",IF(B149="いいえ","↓（印刷経費１の変更理由）",IF(B150="","↓（印刷経費１の変更理由）",IF(B150="はい","印刷経費１の変更理由","印刷経費１の変更理由"))))</f>
        <v>↓</v>
      </c>
      <c r="B157" s="381"/>
      <c r="C157" t="str">
        <f>IF(B150="いいえ","←"&amp;収支予算書!G42&amp;"の変更理由を記入してください","")</f>
        <v/>
      </c>
    </row>
    <row r="158" spans="1:3" x14ac:dyDescent="0.45">
      <c r="A158" t="str">
        <f>IF(B149="","↓",IF(B149="いいえ","↓（印刷経費２の支出内容）",IF(B151="","↓（印刷経費２の支出内容）",IF(B151="はい","印刷経費２の支出内容","↓（印刷経費２の支出内容）"))))</f>
        <v>↓</v>
      </c>
      <c r="B158" s="381" t="str">
        <f>IF(B151="はい", 収支予算書!G43,"")</f>
        <v/>
      </c>
      <c r="C158" t="str">
        <f>IF(B159="", "", IF(B159*IF(B160="一式",1, B160)&gt;50000, "←交付申請時に見積書を提出していない経費の場合は請求書等の内訳を示すものの添付が必要です", ""))</f>
        <v/>
      </c>
    </row>
    <row r="159" spans="1:3" x14ac:dyDescent="0.45">
      <c r="A159" t="str">
        <f>IF(B149="","↓",IF(B149="いいえ","↓（印刷経費２の単価（税込）（数字のみ記入））",IF(B151="","↓（印刷経費２の単価（税込）（数字のみ記入））",IF(B151="はい","印刷経費２の単価（税込）（数字のみ記入）","↓（印刷経費２の単価（税込）（数字のみ記入））"))))</f>
        <v>↓</v>
      </c>
      <c r="B159" s="381" t="str">
        <f>IF(B151="はい", 収支予算書!H43,"")</f>
        <v/>
      </c>
      <c r="C159" t="s">
        <v>508</v>
      </c>
    </row>
    <row r="160" spans="1:3" x14ac:dyDescent="0.45">
      <c r="A160" t="str">
        <f>IF(B149="","↓",IF(B149="いいえ","↓（印刷経費２の（数量）（数字のみ記入））",IF(B151="","↓（印刷経費２の（数量）（数字のみ記入））",IF(B151="はい","印刷経費２の（数量）（数字のみ記入）","↓（印刷経費２の（数量）（数字のみ記入））"))))</f>
        <v>↓</v>
      </c>
      <c r="B160" s="381" t="str">
        <f>IF(B151="はい", 収支予算書!I43,"")</f>
        <v/>
      </c>
      <c r="C160" t="s">
        <v>549</v>
      </c>
    </row>
    <row r="161" spans="1:3" x14ac:dyDescent="0.45">
      <c r="A161" t="str">
        <f>IF(B149="","↓",IF(B149="いいえ","↓（印刷経費２の変更理由）",IF(B151="","↓（印刷経費２の変更理由）",IF(B151="はい","印刷経費２の変更理由","印刷経費２の変更理由"))))</f>
        <v>↓</v>
      </c>
      <c r="B161" s="381"/>
      <c r="C161" t="str">
        <f>IF(B151="いいえ","←"&amp;収支予算書!G43&amp;"の変更理由を記入してください","")</f>
        <v/>
      </c>
    </row>
    <row r="162" spans="1:3" x14ac:dyDescent="0.45">
      <c r="A162" t="str">
        <f>IF(B149="","↓",IF(B149="いいえ","↓（印刷経費３の支出内容）",IF(B152="","↓（印刷経費３の支出内容）",IF(B152="はい","印刷経費３の支出内容","↓（印刷経費３の支出内容）"))))</f>
        <v>↓</v>
      </c>
      <c r="B162" s="381" t="str">
        <f>IF(B152="はい", 収支予算書!G44,"")</f>
        <v/>
      </c>
      <c r="C162" t="str">
        <f>IF(B163="", "", IF(B163*IF(B164="一式",1, B164)&gt;50000, "←交付申請時に見積書を提出していない経費の場合は請求書等の内訳を示すものの添付が必要です", ""))</f>
        <v/>
      </c>
    </row>
    <row r="163" spans="1:3" x14ac:dyDescent="0.45">
      <c r="A163" t="str">
        <f>IF(B149="","↓",IF(B149="いいえ","↓（印刷経費３の単価（税込）（数字のみ記入））",IF(B152="","↓（印刷経費３の単価（税込）（数字のみ記入））",IF(B152="はい","印刷経費３の単価（税込）（数字のみ記入）","↓（印刷経費３の単価（税込）（数字のみ記入））"))))</f>
        <v>↓</v>
      </c>
      <c r="B163" s="381" t="str">
        <f>IF(B152="はい", 収支予算書!H44,"")</f>
        <v/>
      </c>
      <c r="C163" t="s">
        <v>508</v>
      </c>
    </row>
    <row r="164" spans="1:3" x14ac:dyDescent="0.45">
      <c r="A164" t="str">
        <f>IF(B149="","↓",IF(B149="いいえ","↓（印刷経費３の（数量）（数字のみ記入））",IF(B152="","↓（印刷経費３の（数量）（数字のみ記入））",IF(B152="はい","印刷経費３の（数量）（数字のみ記入）","↓（印刷経費３の（数量）（数字のみ記入））"))))</f>
        <v>↓</v>
      </c>
      <c r="B164" s="381" t="str">
        <f>IF(B152="はい", 収支予算書!I44,"")</f>
        <v/>
      </c>
      <c r="C164" t="s">
        <v>549</v>
      </c>
    </row>
    <row r="165" spans="1:3" x14ac:dyDescent="0.45">
      <c r="A165" t="str">
        <f>IF(B149="","↓",IF(B149="いいえ","↓（印刷経費３の変更理由）",IF(B152="","↓（印刷経費３の変更理由）",IF(B152="はい","印刷経費３の変更理由","印刷経費３の変更理由"))))</f>
        <v>↓</v>
      </c>
      <c r="B165" s="381"/>
      <c r="C165" t="str">
        <f>IF(B152="いいえ","←"&amp;収支予算書!G44&amp;"の変更理由を記入してください","")</f>
        <v/>
      </c>
    </row>
    <row r="166" spans="1:3" x14ac:dyDescent="0.45">
      <c r="A166" t="str">
        <f>IF(B149="","↓",IF(B149="いいえ","↓（印刷経費４の支出内容）",IF(B153="","↓（印刷経費４の支出内容）",IF(B153="はい","印刷経費４の支出内容","↓（印刷経費４の支出内容）"))))</f>
        <v>↓</v>
      </c>
      <c r="B166" s="381" t="str">
        <f>IF(B153="はい", 収支予算書!G45,"")</f>
        <v/>
      </c>
      <c r="C166" t="str">
        <f>IF(B167="", "", IF(B167*IF(B168="一式",1, B168)&gt;50000, "←交付申請時に見積書を提出していない経費の場合は請求書等の内訳を示すものの添付が必要です", ""))</f>
        <v/>
      </c>
    </row>
    <row r="167" spans="1:3" x14ac:dyDescent="0.45">
      <c r="A167" t="str">
        <f>IF(B149="","↓",IF(B149="いいえ","↓（印刷経費４の単価（税込）（数字のみ記入））",IF(B153="","↓（印刷経費４の単価（税込）（数字のみ記入））",IF(B153="はい","印刷経費４の単価（税込）（数字のみ記入）","↓（印刷経費４の単価（税込）（数字のみ記入））"))))</f>
        <v>↓</v>
      </c>
      <c r="B167" s="381" t="str">
        <f>IF(B153="はい", 収支予算書!H45,"")</f>
        <v/>
      </c>
      <c r="C167" t="s">
        <v>508</v>
      </c>
    </row>
    <row r="168" spans="1:3" x14ac:dyDescent="0.45">
      <c r="A168" t="str">
        <f>IF(B149="","↓",IF(B149="いいえ","↓（印刷経費４の（数量）（数字のみ記入））",IF(B153="","↓（印刷経費４の（数量）（数字のみ記入））",IF(B153="はい","印刷経費４の（数量）（数字のみ記入）","↓（印刷経費４の（数量）（数字のみ記入））"))))</f>
        <v>↓</v>
      </c>
      <c r="B168" s="381" t="str">
        <f>IF(B153="はい", 収支予算書!I45,"")</f>
        <v/>
      </c>
      <c r="C168" t="s">
        <v>549</v>
      </c>
    </row>
    <row r="169" spans="1:3" x14ac:dyDescent="0.45">
      <c r="A169" t="str">
        <f>IF(B149="","↓",IF(B149="いいえ","↓（印刷経費４の変更理由）",IF(B153="","↓（印刷経費４の変更理由）",IF(B153="はい","印刷経費４の変更理由","印刷経費４の変更理由"))))</f>
        <v>↓</v>
      </c>
      <c r="B169" s="381"/>
      <c r="C169" t="str">
        <f>IF(B153="いいえ","←"&amp;収支予算書!G45&amp;"の変更理由を記入してください","")</f>
        <v/>
      </c>
    </row>
    <row r="170" spans="1:3" x14ac:dyDescent="0.45">
      <c r="A170" t="s">
        <v>360</v>
      </c>
      <c r="B170" s="380"/>
      <c r="C170" t="s">
        <v>98</v>
      </c>
    </row>
    <row r="171" spans="1:3" ht="37.799999999999997" customHeight="1" x14ac:dyDescent="0.45">
      <c r="A171" s="119" t="str">
        <f>IF(B170="はい",IF(入力フォーム!B318="","↓", "収支予算書に計上された「"&amp;入力フォーム!B318&amp;"」の支出はありますか"),IF(B170="いいえ","↓","↓"))</f>
        <v>↓</v>
      </c>
      <c r="B171" s="381"/>
      <c r="C171" t="s">
        <v>98</v>
      </c>
    </row>
    <row r="172" spans="1:3" ht="37.799999999999997" customHeight="1" x14ac:dyDescent="0.45">
      <c r="A172" s="119" t="str">
        <f>IF(B170="はい",IF(入力フォーム!B321="","↓", "収支予算書に計上された「"&amp;入力フォーム!B321&amp;"」の支出はありますか"),IF(B170="いいえ","↓","↓"))</f>
        <v>↓</v>
      </c>
      <c r="B172" s="381"/>
      <c r="C172" t="s">
        <v>98</v>
      </c>
    </row>
    <row r="173" spans="1:3" ht="37.799999999999997" customHeight="1" x14ac:dyDescent="0.45">
      <c r="A173" s="119" t="str">
        <f>IF(B170="はい",IF(入力フォーム!B324="","↓", "収支予算書に計上された「"&amp;入力フォーム!B324&amp;"」の支出はありますか"),IF(B170="いいえ","↓","↓"))</f>
        <v>↓</v>
      </c>
      <c r="B173" s="381"/>
      <c r="C173" t="s">
        <v>98</v>
      </c>
    </row>
    <row r="174" spans="1:3" ht="37.799999999999997" customHeight="1" x14ac:dyDescent="0.45">
      <c r="A174" s="119" t="str">
        <f>IF(B170="はい",IF(入力フォーム!B327="","↓", "収支予算書に計上された「"&amp;入力フォーム!B327&amp;"」の支出はありますか"),IF(B170="いいえ","↓","↓"))</f>
        <v>↓</v>
      </c>
      <c r="B174" s="381"/>
      <c r="C174" t="s">
        <v>98</v>
      </c>
    </row>
    <row r="175" spans="1:3" x14ac:dyDescent="0.45">
      <c r="A175" s="16" t="str">
        <f>IF(B170="","↓",IF(B170="いいえ","↓（役務費１の支出内容）",IF(B171="","↓（役務費１の支出内容）",IF(B171="はい","役務費１の支出内容（例：イベント保険料（200人分）)","↓（役務費１の支出内容）"))))</f>
        <v>↓</v>
      </c>
      <c r="B175" s="381" t="str">
        <f>IF(B171="はい", 収支予算書!G46,"")</f>
        <v/>
      </c>
      <c r="C175" t="str">
        <f>IF(B176="", "", IF(B176*IF(B177="一式",1, B177)&gt;50000, "←交付申請時に見積書を提出していない経費の場合は請求書等の内訳を示すものの添付が必要です", ""))</f>
        <v/>
      </c>
    </row>
    <row r="176" spans="1:3" x14ac:dyDescent="0.45">
      <c r="A176" t="str">
        <f>IF(B170="","↓",IF(B170="いいえ","↓（役務費１の単価（税込）（数字のみ記入））",IF(B171="","↓（役務費１の単価（税込）（数字のみ記入））",IF(B171="はい","役務費１の単価（税込）（数字のみ記入）","↓（役務費１の単価（税込）（数字のみ記入））"))))</f>
        <v>↓</v>
      </c>
      <c r="B176" s="381" t="str">
        <f>IF(B171="はい", 収支予算書!H46,"")</f>
        <v/>
      </c>
      <c r="C176" t="s">
        <v>508</v>
      </c>
    </row>
    <row r="177" spans="1:3" x14ac:dyDescent="0.45">
      <c r="A177" t="str">
        <f>IF(B170="","↓",IF(B170="いいえ","↓（役務費１の（数量）（数字のみ記入））",IF(B171="","↓（役務費１の（数量）（数字のみ記入））",IF(B171="はい","役務費１の（数量）（数字のみ記入）","↓（役務費１の（数量）（数字のみ記入））"))))</f>
        <v>↓</v>
      </c>
      <c r="B177" s="381" t="str">
        <f>IF(B171="はい", 収支予算書!I46,"")</f>
        <v/>
      </c>
      <c r="C177" t="s">
        <v>549</v>
      </c>
    </row>
    <row r="178" spans="1:3" x14ac:dyDescent="0.45">
      <c r="A178" t="str">
        <f>IF(B170="","↓",IF(B170="いいえ","↓（役務費１の変更理由）",IF(B171="","↓（役務費１の変更理由）",IF(B171="はい","役務費１の変更理由","役務費１の変更理由"))))</f>
        <v>↓</v>
      </c>
      <c r="B178" s="381"/>
      <c r="C178" t="str">
        <f>IF(B171="いいえ","←"&amp;収支予算書!G46&amp;"の変更理由を記入してください","")</f>
        <v/>
      </c>
    </row>
    <row r="179" spans="1:3" x14ac:dyDescent="0.45">
      <c r="A179" t="str">
        <f>IF(B170="","↓",IF(B170="いいえ","↓（役務費２の支出内容）",IF(B172="","↓（役務費２の支出内容）",IF(B172="はい","役務費２の支出内容","↓（役務費２の支出内容）"))))</f>
        <v>↓</v>
      </c>
      <c r="B179" s="381" t="str">
        <f>IF(B172="はい", 収支予算書!G47,"")</f>
        <v/>
      </c>
      <c r="C179" t="str">
        <f>IF(B180="", "", IF(B180*IF(B181="一式",1, B181)&gt;50000, "←交付申請時に見積書を提出していない経費の場合は請求書等の内訳を示すものの添付が必要です", ""))</f>
        <v/>
      </c>
    </row>
    <row r="180" spans="1:3" x14ac:dyDescent="0.45">
      <c r="A180" t="str">
        <f>IF(B170="","↓",IF(B170="いいえ","↓（役務費２の単価（税込）（数字のみ記入））",IF(B172="","↓（役務費２の単価（税込）（数字のみ記入））",IF(B172="はい","役務費２の単価（税込）（数字のみ記入）","↓（役務費２の単価（税込）（数字のみ記入））"))))</f>
        <v>↓</v>
      </c>
      <c r="B180" s="381" t="str">
        <f>IF(B172="はい", 収支予算書!H47,"")</f>
        <v/>
      </c>
      <c r="C180" t="s">
        <v>508</v>
      </c>
    </row>
    <row r="181" spans="1:3" x14ac:dyDescent="0.45">
      <c r="A181" t="str">
        <f>IF(B170="","↓",IF(B170="いいえ","↓（役務費２の（数量）（数字のみ記入））",IF(B172="","↓（役務費２の（数量）（数字のみ記入））",IF(B172="はい","役務費２の（数量）（数字のみ記入）","↓（役務費２の（数量）（数字のみ記入））"))))</f>
        <v>↓</v>
      </c>
      <c r="B181" s="381" t="str">
        <f>IF(B172="はい", 収支予算書!I47,"")</f>
        <v/>
      </c>
      <c r="C181" t="s">
        <v>549</v>
      </c>
    </row>
    <row r="182" spans="1:3" x14ac:dyDescent="0.45">
      <c r="A182" t="str">
        <f>IF(B170="","↓",IF(B170="いいえ","↓（役務費２の変更理由）",IF(B172="","↓（役務費２の変更理由）",IF(B172="はい","役務費２の変更理由","役務費２の変更理由"))))</f>
        <v>↓</v>
      </c>
      <c r="B182" s="381"/>
      <c r="C182" t="str">
        <f>IF(B172="いいえ","←"&amp;収支予算書!G47&amp;"の変更理由を記入してください","")</f>
        <v/>
      </c>
    </row>
    <row r="183" spans="1:3" x14ac:dyDescent="0.45">
      <c r="A183" t="str">
        <f>IF(B170="","↓",IF(B170="いいえ","↓（役務費３の支出内容）",IF(B173="","↓（役務費３の支出内容）",IF(B173="はい","役務費３の支出内容","↓（役務費３の支出内容）"))))</f>
        <v>↓</v>
      </c>
      <c r="B183" s="381" t="str">
        <f>IF(B173="はい", 収支予算書!G48,"")</f>
        <v/>
      </c>
      <c r="C183" t="str">
        <f>IF(B184="", "", IF(B184*IF(B185="一式",1, B185)&gt;50000, "←交付申請時に見積書を提出していない経費の場合は請求書等の内訳を示すものの添付が必要です", ""))</f>
        <v/>
      </c>
    </row>
    <row r="184" spans="1:3" x14ac:dyDescent="0.45">
      <c r="A184" t="str">
        <f>IF(B170="","↓",IF(B170="いいえ","↓（役務費３の単価（税込）（数字のみ記入））",IF(B173="","↓（役務費３の単価（税込）（数字のみ記入））",IF(B173="はい","役務費３の単価（税込）（数字のみ記入）","↓（役務費３の単価（税込）（数字のみ記入））"))))</f>
        <v>↓</v>
      </c>
      <c r="B184" s="381" t="str">
        <f>IF(B173="はい", 収支予算書!H48,"")</f>
        <v/>
      </c>
      <c r="C184" t="s">
        <v>508</v>
      </c>
    </row>
    <row r="185" spans="1:3" x14ac:dyDescent="0.45">
      <c r="A185" t="str">
        <f>IF(B170="","↓",IF(B170="いいえ","↓（役務費３の（数量）（数字のみ記入））",IF(B173="","↓（役務費３の（数量）（数字のみ記入））",IF(B173="はい","役務費３の（数量）（数字のみ記入）","↓（役務費３の（数量）（数字のみ記入））"))))</f>
        <v>↓</v>
      </c>
      <c r="B185" s="381" t="str">
        <f>IF(B173="はい", 収支予算書!I48,"")</f>
        <v/>
      </c>
      <c r="C185" t="s">
        <v>549</v>
      </c>
    </row>
    <row r="186" spans="1:3" x14ac:dyDescent="0.45">
      <c r="A186" t="str">
        <f>IF(B170="","↓",IF(B170="いいえ","↓（役務費３の変更理由）",IF(B173="","↓（役務費３の変更理由）",IF(B173="はい","役務費３の変更理由","役務費３の変更理由"))))</f>
        <v>↓</v>
      </c>
      <c r="B186" s="381"/>
      <c r="C186" t="str">
        <f>IF(B173="いいえ","←"&amp;収支予算書!G48&amp;"の変更理由を記入してください","")</f>
        <v/>
      </c>
    </row>
    <row r="187" spans="1:3" x14ac:dyDescent="0.45">
      <c r="A187" t="str">
        <f>IF(B170="","↓",IF(B170="いいえ","↓（役務費４の支出内容）",IF(B174="","↓（役務費４の支出内容）",IF(B174="はい","役務費４の支出内容","↓（役務費４の支出内容）"))))</f>
        <v>↓</v>
      </c>
      <c r="B187" s="381" t="str">
        <f>IF(B174="はい", 収支予算書!G49,"")</f>
        <v/>
      </c>
      <c r="C187" t="str">
        <f>IF(B188="", "", IF(B188*IF(B189="一式",1, B189)&gt;50000, "←交付申請時に見積書を提出していない経費の場合は請求書等の内訳を示すものの添付が必要です", ""))</f>
        <v/>
      </c>
    </row>
    <row r="188" spans="1:3" x14ac:dyDescent="0.45">
      <c r="A188" t="str">
        <f>IF(B170="","↓",IF(B170="いいえ","↓（役務費４の単価（税込）（数字のみ記入））",IF(B174="","↓（役務費４の単価（税込）（数字のみ記入））",IF(B174="はい","役務費４の単価（税込）（数字のみ記入）","↓（役務費４の単価（税込）（数字のみ記入））"))))</f>
        <v>↓</v>
      </c>
      <c r="B188" s="381" t="str">
        <f>IF(B174="はい", 収支予算書!H49,"")</f>
        <v/>
      </c>
      <c r="C188" t="s">
        <v>508</v>
      </c>
    </row>
    <row r="189" spans="1:3" x14ac:dyDescent="0.45">
      <c r="A189" t="str">
        <f>IF(B170="","↓",IF(B170="いいえ","↓（役務費４の（数量）（数字のみ記入））",IF(B174="","↓（役務費４の（数量）（数字のみ記入））",IF(B174="はい","役務費４の（数量）（数字のみ記入）","↓（役務費４の（数量）（数字のみ記入））"))))</f>
        <v>↓</v>
      </c>
      <c r="B189" s="381" t="str">
        <f>IF(B174="はい", 収支予算書!I49,"")</f>
        <v/>
      </c>
      <c r="C189" t="s">
        <v>549</v>
      </c>
    </row>
    <row r="190" spans="1:3" x14ac:dyDescent="0.45">
      <c r="A190" t="str">
        <f>IF(B170="","↓",IF(B170="いいえ","↓（役務費４の変更理由）",IF(B174="","↓（役務費４の変更理由）",IF(B174="はい","役務費４の変更理由","役務費４の変更理由"))))</f>
        <v>↓</v>
      </c>
      <c r="B190" s="381"/>
      <c r="C190" t="str">
        <f>IF(B174="いいえ","←"&amp;収支予算書!G49&amp;"の変更理由を記入してください","")</f>
        <v/>
      </c>
    </row>
    <row r="191" spans="1:3" x14ac:dyDescent="0.45">
      <c r="A191" t="s">
        <v>361</v>
      </c>
      <c r="B191" s="380"/>
      <c r="C191" t="s">
        <v>98</v>
      </c>
    </row>
    <row r="192" spans="1:3" ht="37.799999999999997" customHeight="1" x14ac:dyDescent="0.45">
      <c r="A192" s="119" t="str">
        <f>IF(B191="はい",IF(入力フォーム!B331="","↓", "収支予算書に計上された「"&amp;入力フォーム!B331&amp;"」の支出はありますか"),IF(B191="いいえ","↓","↓"))</f>
        <v>↓</v>
      </c>
      <c r="B192" s="381"/>
      <c r="C192" t="s">
        <v>98</v>
      </c>
    </row>
    <row r="193" spans="1:3" ht="37.799999999999997" customHeight="1" x14ac:dyDescent="0.45">
      <c r="A193" s="119" t="str">
        <f>IF(B191="はい",IF(入力フォーム!B334="","↓", "収支予算書に計上された「"&amp;入力フォーム!B334&amp;"」の支出はありますか"),IF(B191="いいえ","↓","↓"))</f>
        <v>↓</v>
      </c>
      <c r="B193" s="381"/>
      <c r="C193" t="s">
        <v>98</v>
      </c>
    </row>
    <row r="194" spans="1:3" ht="37.799999999999997" customHeight="1" x14ac:dyDescent="0.45">
      <c r="A194" s="119" t="str">
        <f>IF(B191="はい",IF(入力フォーム!B337="","↓", "収支予算書に計上された「"&amp;入力フォーム!B337&amp;"」の支出はありますか"),IF(B191="いいえ","↓","↓"))</f>
        <v>↓</v>
      </c>
      <c r="B194" s="381"/>
      <c r="C194" t="s">
        <v>98</v>
      </c>
    </row>
    <row r="195" spans="1:3" ht="37.799999999999997" customHeight="1" x14ac:dyDescent="0.45">
      <c r="A195" s="119" t="str">
        <f>IF(B191="はい",IF(入力フォーム!B340="","↓", "収支予算書に計上された「"&amp;入力フォーム!B340&amp;"」の支出はありますか"),IF(B191="いいえ","↓","↓"))</f>
        <v>↓</v>
      </c>
      <c r="B195" s="381"/>
      <c r="C195" t="s">
        <v>98</v>
      </c>
    </row>
    <row r="196" spans="1:3" x14ac:dyDescent="0.45">
      <c r="A196" s="16" t="str">
        <f>IF(B191="","↓",IF(B191="いいえ","↓（委託料１の支出内容）",IF(B192="","↓（委託料１の支出内容）",IF(B192="はい","委託料１の支出内容（例：盆踊り用やぐら設営・撤去）)","↓（委託料１の支出内容）"))))</f>
        <v>↓</v>
      </c>
      <c r="B196" s="381" t="str">
        <f>IF(B192="はい", 収支予算書!G50,"")</f>
        <v/>
      </c>
      <c r="C196" t="str">
        <f>IF(B197="", "", IF(B197*IF(B198="一式",1, B198)&gt;50000, "←交付申請時に見積書を提出していない経費の場合は請求書等の内訳を示すものの添付が必要です", ""))</f>
        <v/>
      </c>
    </row>
    <row r="197" spans="1:3" x14ac:dyDescent="0.45">
      <c r="A197" t="str">
        <f>IF(B191="","↓",IF(B191="いいえ","↓（委託料１の単価（税込）（数字のみ記入））",IF(B192="","↓（委託料１の単価（税込）（数字のみ記入））",IF(B192="はい","委託料１の単価（税込）（数字のみ記入）","↓（委託料１の単価（税込）（数字のみ記入））"))))</f>
        <v>↓</v>
      </c>
      <c r="B197" s="381" t="str">
        <f>IF(B192="はい", 収支予算書!H50,"")</f>
        <v/>
      </c>
      <c r="C197" t="s">
        <v>508</v>
      </c>
    </row>
    <row r="198" spans="1:3" x14ac:dyDescent="0.45">
      <c r="A198" t="str">
        <f>IF(B191="","↓",IF(B191="いいえ","↓（委託料１の（数量）（数字のみ記入））",IF(B192="","↓（委託料１の（数量）（数字のみ記入））",IF(B192="はい","委託料１の（数量）（数字のみ記入）","↓（委託料１の（数量）（数字のみ記入））"))))</f>
        <v>↓</v>
      </c>
      <c r="B198" s="381" t="str">
        <f>IF(B192="はい", 収支予算書!I50,"")</f>
        <v/>
      </c>
      <c r="C198" t="s">
        <v>549</v>
      </c>
    </row>
    <row r="199" spans="1:3" x14ac:dyDescent="0.45">
      <c r="A199" t="str">
        <f>IF(B191="","↓",IF(B191="いいえ","↓（委託料１の変更理由）",IF(B192="","↓（委託料１の変更理由）",IF(B192="はい","委託料１の変更理由","委託料１の変更理由"))))</f>
        <v>↓</v>
      </c>
      <c r="B199" s="381"/>
      <c r="C199" t="str">
        <f>IF(B192="いいえ","←"&amp;収支予算書!G50&amp;"の変更理由を記入してください","")</f>
        <v/>
      </c>
    </row>
    <row r="200" spans="1:3" x14ac:dyDescent="0.45">
      <c r="A200" t="str">
        <f>IF(B191="","↓",IF(B191="いいえ","↓（委託料２の支出内容）",IF(B193="","↓（委託料２の支出内容）",IF(B193="はい","委託料２の支出内容","↓（委託料２の支出内容）"))))</f>
        <v>↓</v>
      </c>
      <c r="B200" s="381" t="str">
        <f>IF(B193="はい", 収支予算書!G51,"")</f>
        <v/>
      </c>
      <c r="C200" t="str">
        <f>IF(B201="", "", IF(B201*IF(B202="一式",1, B202)&gt;50000, "←交付申請時に見積書を提出していない経費の場合は請求書等の内訳を示すものの添付が必要です", ""))</f>
        <v/>
      </c>
    </row>
    <row r="201" spans="1:3" x14ac:dyDescent="0.45">
      <c r="A201" t="str">
        <f>IF(B191="","↓",IF(B191="いいえ","↓（委託料２の単価（税込）（数字のみ記入））",IF(B193="","↓（委託料２の単価（税込）（数字のみ記入））",IF(B193="はい","委託料２の単価（税込）（数字のみ記入）","↓（委託料２の単価（税込）（数字のみ記入））"))))</f>
        <v>↓</v>
      </c>
      <c r="B201" s="381" t="str">
        <f>IF(B193="はい", 収支予算書!H51,"")</f>
        <v/>
      </c>
      <c r="C201" t="s">
        <v>508</v>
      </c>
    </row>
    <row r="202" spans="1:3" x14ac:dyDescent="0.45">
      <c r="A202" t="str">
        <f>IF(B191="","↓",IF(B191="いいえ","↓（委託料２の（数量）（数字のみ記入））",IF(B193="","↓（委託料２の（数量）（数字のみ記入））",IF(B193="はい","委託料２の（数量）（数字のみ記入）","↓（委託料２の（数量）（数字のみ記入））"))))</f>
        <v>↓</v>
      </c>
      <c r="B202" s="381" t="str">
        <f>IF(B193="はい", 収支予算書!I51,"")</f>
        <v/>
      </c>
      <c r="C202" t="s">
        <v>549</v>
      </c>
    </row>
    <row r="203" spans="1:3" x14ac:dyDescent="0.45">
      <c r="A203" t="str">
        <f>IF(B191="","↓",IF(B191="いいえ","↓（委託料２の変更理由）",IF(B193="","↓（委託料２の変更理由）",IF(B193="はい","委託料２の変更理由","委託料２の変更理由"))))</f>
        <v>↓</v>
      </c>
      <c r="B203" s="381"/>
      <c r="C203" t="str">
        <f>IF(B193="いいえ","←"&amp;収支予算書!G51&amp;"の変更理由を記入してください","")</f>
        <v/>
      </c>
    </row>
    <row r="204" spans="1:3" x14ac:dyDescent="0.45">
      <c r="A204" t="str">
        <f>IF(B191="","↓",IF(B191="いいえ","↓（委託料３の支出内容）",IF(B194="","↓（委託料３の支出内容）",IF(B194="はい","委託料３の支出内容","↓（委託料３の支出内容）"))))</f>
        <v>↓</v>
      </c>
      <c r="B204" s="381" t="str">
        <f>IF(B194="はい", 収支予算書!G52,"")</f>
        <v/>
      </c>
      <c r="C204" t="str">
        <f>IF(B205="", "", IF(B205*IF(B206="一式",1, B206)&gt;50000, "←交付申請時に見積書を提出していない経費の場合は請求書等の内訳を示すものの添付が必要です", ""))</f>
        <v/>
      </c>
    </row>
    <row r="205" spans="1:3" x14ac:dyDescent="0.45">
      <c r="A205" t="str">
        <f>IF(B191="","↓",IF(B191="いいえ","↓（委託料３の単価（税込）（数字のみ記入））",IF(B194="","↓（委託料３の単価（税込）（数字のみ記入））",IF(B194="はい","委託料３の単価（税込）（数字のみ記入）","↓（委託料３の単価（税込）（数字のみ記入））"))))</f>
        <v>↓</v>
      </c>
      <c r="B205" s="381" t="str">
        <f>IF(B194="はい", 収支予算書!H52,"")</f>
        <v/>
      </c>
      <c r="C205" t="s">
        <v>508</v>
      </c>
    </row>
    <row r="206" spans="1:3" x14ac:dyDescent="0.45">
      <c r="A206" t="str">
        <f>IF(B191="","↓",IF(B191="いいえ","↓（委託料３の（数量）（数字のみ記入））",IF(B194="","↓（委託料３の（数量）（数字のみ記入））",IF(B194="はい","委託料３の（数量）（数字のみ記入）","↓（委託料３の（数量）（数字のみ記入））"))))</f>
        <v>↓</v>
      </c>
      <c r="B206" s="381" t="str">
        <f>IF(B194="はい", 収支予算書!I52,"")</f>
        <v/>
      </c>
      <c r="C206" t="s">
        <v>549</v>
      </c>
    </row>
    <row r="207" spans="1:3" x14ac:dyDescent="0.45">
      <c r="A207" t="str">
        <f>IF(B191="","↓",IF(B191="いいえ","↓（委託料３の変更理由）",IF(B194="","↓（委託料３の変更理由）",IF(B194="はい","委託料３の変更理由","委託料３の変更理由"))))</f>
        <v>↓</v>
      </c>
      <c r="B207" s="381"/>
      <c r="C207" t="str">
        <f>IF(B194="いいえ","←"&amp;収支予算書!G52&amp;"の変更理由を記入してください","")</f>
        <v/>
      </c>
    </row>
    <row r="208" spans="1:3" x14ac:dyDescent="0.45">
      <c r="A208" t="str">
        <f>IF(B191="","↓",IF(B191="いいえ","↓（委託料４の支出内容）",IF(B195="","↓（委託料４の支出内容）",IF(B195="はい","委託料４の支出内容","↓（委託料４の支出内容）"))))</f>
        <v>↓</v>
      </c>
      <c r="B208" s="381" t="str">
        <f>IF(B195="はい", 収支予算書!G53,"")</f>
        <v/>
      </c>
      <c r="C208" t="str">
        <f>IF(B209="", "", IF(B209*IF(B210="一式",1, B210)&gt;50000, "←交付申請時に見積書を提出していない経費の場合は請求書等の内訳を示すものの添付が必要です", ""))</f>
        <v/>
      </c>
    </row>
    <row r="209" spans="1:3" x14ac:dyDescent="0.45">
      <c r="A209" t="str">
        <f>IF(B191="","↓",IF(B191="いいえ","↓（委託料４の単価（税込）（数字のみ記入））",IF(B195="","↓（委託料４の単価（税込）（数字のみ記入））",IF(B195="はい","委託料４の単価（税込）（数字のみ記入）","↓（委託料４の単価（税込）（数字のみ記入））"))))</f>
        <v>↓</v>
      </c>
      <c r="B209" s="381" t="str">
        <f>IF(B195="はい", 収支予算書!H53,"")</f>
        <v/>
      </c>
      <c r="C209" t="s">
        <v>508</v>
      </c>
    </row>
    <row r="210" spans="1:3" x14ac:dyDescent="0.45">
      <c r="A210" t="str">
        <f>IF(B191="","↓",IF(B191="いいえ","↓（委託料４の（数量）（数字のみ記入））",IF(B195="","↓（委託料４の（数量）（数字のみ記入））",IF(B195="はい","委託料４の（数量）（数字のみ記入）","↓（委託料４の（数量）（数字のみ記入））"))))</f>
        <v>↓</v>
      </c>
      <c r="B210" s="381" t="str">
        <f>IF(B195="はい", 収支予算書!I53,"")</f>
        <v/>
      </c>
      <c r="C210" t="s">
        <v>549</v>
      </c>
    </row>
    <row r="211" spans="1:3" x14ac:dyDescent="0.45">
      <c r="A211" t="str">
        <f>IF(B191="","↓",IF(B191="いいえ","↓（委託料４の変更理由）",IF(B195="","↓（委託料４の変更理由）",IF(B195="はい","委託料４の変更理由","委託料４の変更理由"))))</f>
        <v>↓</v>
      </c>
      <c r="B211" s="381"/>
      <c r="C211" t="str">
        <f>IF(B195="いいえ","←"&amp;収支予算書!G53&amp;"の変更理由を記入してください","")</f>
        <v/>
      </c>
    </row>
    <row r="212" spans="1:3" x14ac:dyDescent="0.45">
      <c r="A212" t="s">
        <v>362</v>
      </c>
      <c r="B212" s="380"/>
      <c r="C212" t="s">
        <v>98</v>
      </c>
    </row>
    <row r="213" spans="1:3" ht="37.799999999999997" customHeight="1" x14ac:dyDescent="0.45">
      <c r="A213" s="119" t="str">
        <f>IF(B212="はい",IF(入力フォーム!B344="","↓", "収支予算書に計上された「"&amp;入力フォーム!B344&amp;"」の支出はありますか"),IF(B212="いいえ","↓","↓"))</f>
        <v>↓</v>
      </c>
      <c r="B213" s="381"/>
      <c r="C213" t="s">
        <v>98</v>
      </c>
    </row>
    <row r="214" spans="1:3" ht="37.799999999999997" customHeight="1" x14ac:dyDescent="0.45">
      <c r="A214" s="119" t="str">
        <f>IF(B212="はい",IF(入力フォーム!B347="","↓", "収支予算書に計上された「"&amp;入力フォーム!B347&amp;"」の支出はありますか"),IF(B212="いいえ","↓","↓"))</f>
        <v>↓</v>
      </c>
      <c r="B214" s="381"/>
      <c r="C214" t="s">
        <v>98</v>
      </c>
    </row>
    <row r="215" spans="1:3" ht="37.799999999999997" customHeight="1" x14ac:dyDescent="0.45">
      <c r="A215" s="119" t="str">
        <f>IF(B212="はい",IF(入力フォーム!B350="","↓", "収支予算書に計上された「"&amp;入力フォーム!B350&amp;"」の支出はありますか"),IF(B212="いいえ","↓","↓"))</f>
        <v>↓</v>
      </c>
      <c r="B215" s="381"/>
      <c r="C215" t="s">
        <v>98</v>
      </c>
    </row>
    <row r="216" spans="1:3" ht="37.799999999999997" customHeight="1" x14ac:dyDescent="0.45">
      <c r="A216" s="119" t="str">
        <f>IF(B212="はい",IF(入力フォーム!B353="","↓", "収支予算書に計上された「"&amp;入力フォーム!B353&amp;"」の支出はありますか"),IF(B212="いいえ","↓","↓"))</f>
        <v>↓</v>
      </c>
      <c r="B216" s="381"/>
      <c r="C216" t="s">
        <v>98</v>
      </c>
    </row>
    <row r="217" spans="1:3" x14ac:dyDescent="0.45">
      <c r="A217" s="16" t="str">
        <f>IF(B212="","↓",IF(B212="いいえ","↓（レンタル・リース料１の支出内容）",IF(B213="","↓（レンタル・リース料１の支出内容）",IF(B213="はい","レンタル・リース料１の支出内容（例：防災訓練時本部設営用テント）)","↓（レンタル・リース料１の支出内容）"))))</f>
        <v>↓</v>
      </c>
      <c r="B217" s="381" t="str">
        <f>IF(B213="はい", 収支予算書!G54,"")</f>
        <v/>
      </c>
      <c r="C217" t="str">
        <f>IF(B218="", "", IF(B218*IF(B219="一式",1, B219)&gt;50000, "←交付申請時に見積書を提出していない経費の場合は請求書等の内訳を示すものの添付が必要です", ""))</f>
        <v/>
      </c>
    </row>
    <row r="218" spans="1:3" x14ac:dyDescent="0.45">
      <c r="A218" t="str">
        <f>IF(B212="","↓",IF(B212="いいえ","↓（レンタル・リース料１の単価（税込）（数字のみ記入））",IF(B213="","↓（レンタル・リース料１の単価（税込）（数字のみ記入））",IF(B213="はい","レンタル・リース料１の単価（税込）（数字のみ記入）","↓（レンタル・リース料１の単価（税込）（数字のみ記入））"))))</f>
        <v>↓</v>
      </c>
      <c r="B218" s="381" t="str">
        <f>IF(B213="はい", 収支予算書!H54,"")</f>
        <v/>
      </c>
      <c r="C218" t="s">
        <v>508</v>
      </c>
    </row>
    <row r="219" spans="1:3" x14ac:dyDescent="0.45">
      <c r="A219" t="str">
        <f>IF(B212="","↓",IF(B212="いいえ","↓（レンタル・リース料１の（数量）（数字のみ記入））",IF(B213="","↓（レンタル・リース料１の（数量）（数字のみ記入））",IF(B213="はい","レンタル・リース料１の（数量）（数字のみ記入）","↓（レンタル・リース料１の（数量）（数字のみ記入））"))))</f>
        <v>↓</v>
      </c>
      <c r="B219" s="381" t="str">
        <f>IF(B213="はい", 収支予算書!I54,"")</f>
        <v/>
      </c>
      <c r="C219" t="s">
        <v>549</v>
      </c>
    </row>
    <row r="220" spans="1:3" x14ac:dyDescent="0.45">
      <c r="A220" t="str">
        <f>IF(B212="","↓",IF(B212="いいえ","↓（レンタル・リース料１の変更理由）",IF(B213="","↓（レンタル・リース料１の変更理由）",IF(B213="はい","レンタル・リース料１の変更理由","レンタル・リース料１の変更理由"))))</f>
        <v>↓</v>
      </c>
      <c r="B220" s="381"/>
      <c r="C220" t="str">
        <f>IF(B213="いいえ","←"&amp;収支予算書!G54&amp;"の変更理由を記入してください","")</f>
        <v/>
      </c>
    </row>
    <row r="221" spans="1:3" x14ac:dyDescent="0.45">
      <c r="A221" t="str">
        <f>IF(B212="","↓",IF(B212="いいえ","↓（レンタル・リース料２の支出内容）",IF(B214="","↓（レンタル・リース料２の支出内容）",IF(B214="はい","レンタル・リース料２の支出内容","↓（レンタル・リース料２の支出内容）"))))</f>
        <v>↓</v>
      </c>
      <c r="B221" s="381" t="str">
        <f>IF(B214="はい", 収支予算書!G55,"")</f>
        <v/>
      </c>
      <c r="C221" t="str">
        <f>IF(B222="", "", IF(B222*IF(B223="一式",1, B223)&gt;50000, "←交付申請時に見積書を提出していない経費の場合は請求書等の内訳を示すものの添付が必要です", ""))</f>
        <v/>
      </c>
    </row>
    <row r="222" spans="1:3" x14ac:dyDescent="0.45">
      <c r="A222" t="str">
        <f>IF(B212="","↓",IF(B212="いいえ","↓（レンタル・リース料２の単価（税込）（数字のみ記入））",IF(B214="","↓（レンタル・リース料２の単価（税込）（数字のみ記入））",IF(B214="はい","レンタル・リース料２の単価（税込）（数字のみ記入）","↓（レンタル・リース料２の単価（税込）（数字のみ記入））"))))</f>
        <v>↓</v>
      </c>
      <c r="B222" s="381" t="str">
        <f>IF(B214="はい", 収支予算書!H55,"")</f>
        <v/>
      </c>
      <c r="C222" t="s">
        <v>508</v>
      </c>
    </row>
    <row r="223" spans="1:3" x14ac:dyDescent="0.45">
      <c r="A223" t="str">
        <f>IF(B212="","↓",IF(B212="いいえ","↓（レンタル・リース料２の（数量）（数字のみ記入））",IF(B214="","↓（レンタル・リース料２の（数量）（数字のみ記入））",IF(B214="はい","レンタル・リース料２の（数量）（数字のみ記入）","↓（レンタル・リース料２の（数量）（数字のみ記入））"))))</f>
        <v>↓</v>
      </c>
      <c r="B223" s="381" t="str">
        <f>IF(B214="はい", 収支予算書!I55,"")</f>
        <v/>
      </c>
      <c r="C223" t="s">
        <v>549</v>
      </c>
    </row>
    <row r="224" spans="1:3" x14ac:dyDescent="0.45">
      <c r="A224" t="str">
        <f>IF(B212="","↓",IF(B212="いいえ","↓（レンタル・リース料２の変更理由）",IF(B214="","↓（レンタル・リース料２の変更理由）",IF(B214="はい","レンタル・リース料２の変更理由","レンタル・リース料２の変更理由"))))</f>
        <v>↓</v>
      </c>
      <c r="B224" s="381"/>
      <c r="C224" t="str">
        <f>IF(B214="いいえ","←"&amp;収支予算書!G55&amp;"の変更理由を記入してください","")</f>
        <v/>
      </c>
    </row>
    <row r="225" spans="1:3" x14ac:dyDescent="0.45">
      <c r="A225" t="str">
        <f>IF(B212="","↓",IF(B212="いいえ","↓（レンタル・リース料３の支出内容）",IF(B215="","↓（レンタル・リース料３の支出内容）",IF(B215="はい","レンタル・リース料３の支出内容","↓（レンタル・リース料３の支出内容）"))))</f>
        <v>↓</v>
      </c>
      <c r="B225" s="381" t="str">
        <f>IF(B215="はい", 収支予算書!G56,"")</f>
        <v/>
      </c>
      <c r="C225" t="str">
        <f>IF(B226="", "", IF(B226*IF(B227="一式",1, B227)&gt;50000, "←交付申請時に見積書を提出していない経費の場合は請求書等の内訳を示すものの添付が必要です", ""))</f>
        <v/>
      </c>
    </row>
    <row r="226" spans="1:3" x14ac:dyDescent="0.45">
      <c r="A226" t="str">
        <f>IF(B212="","↓",IF(B212="いいえ","↓（レンタル・リース料３の単価（税込）（数字のみ記入））",IF(B215="","↓（レンタル・リース料３の単価（税込）（数字のみ記入））",IF(B215="はい","レンタル・リース料３の単価（税込）（数字のみ記入）","↓（レンタル・リース料３の単価（税込）（数字のみ記入））"))))</f>
        <v>↓</v>
      </c>
      <c r="B226" s="381" t="str">
        <f>IF(B215="はい", 収支予算書!H56,"")</f>
        <v/>
      </c>
      <c r="C226" t="s">
        <v>508</v>
      </c>
    </row>
    <row r="227" spans="1:3" x14ac:dyDescent="0.45">
      <c r="A227" t="str">
        <f>IF(B212="","↓",IF(B212="いいえ","↓（レンタル・リース料３の（数量）（数字のみ記入））",IF(B215="","↓（レンタル・リース料３の（数量）（数字のみ記入））",IF(B215="はい","レンタル・リース料３の（数量）（数字のみ記入）","↓（レンタル・リース料３の（数量）（数字のみ記入））"))))</f>
        <v>↓</v>
      </c>
      <c r="B227" s="381" t="str">
        <f>IF(B215="はい", 収支予算書!I56,"")</f>
        <v/>
      </c>
      <c r="C227" t="s">
        <v>549</v>
      </c>
    </row>
    <row r="228" spans="1:3" x14ac:dyDescent="0.45">
      <c r="A228" t="str">
        <f>IF(B212="","↓",IF(B212="いいえ","↓（レンタル・リース料３の変更理由）",IF(B215="","↓（レンタル・リース料３の変更理由）",IF(B215="はい","レンタル・リース料３の変更理由","レンタル・リース料３の変更理由"))))</f>
        <v>↓</v>
      </c>
      <c r="B228" s="381"/>
      <c r="C228" t="str">
        <f>IF(B215="いいえ","←"&amp;収支予算書!G56&amp;"の変更理由を記入してください","")</f>
        <v/>
      </c>
    </row>
    <row r="229" spans="1:3" x14ac:dyDescent="0.45">
      <c r="A229" t="str">
        <f>IF(B212="","↓",IF(B212="いいえ","↓（レンタル・リース料４の支出内容）",IF(B216="","↓（レンタル・リース料４の支出内容）",IF(B216="はい","レンタル・リース料４の支出内容","↓（レンタル・リース料４の支出内容）"))))</f>
        <v>↓</v>
      </c>
      <c r="B229" s="381" t="str">
        <f>IF(B216="はい", 収支予算書!G57,"")</f>
        <v/>
      </c>
      <c r="C229" t="str">
        <f>IF(B230="", "", IF(B230*IF(B231="一式",1, B231)&gt;50000, "←交付申請時に見積書を提出していない経費の場合は請求書等の内訳を示すものの添付が必要です", ""))</f>
        <v/>
      </c>
    </row>
    <row r="230" spans="1:3" x14ac:dyDescent="0.45">
      <c r="A230" t="str">
        <f>IF(B212="","↓",IF(B212="いいえ","↓（レンタル・リース料４の単価（税込）（数字のみ記入））",IF(B216="","↓（レンタル・リース料４の単価（税込）（数字のみ記入））",IF(B216="はい","レンタル・リース料４の単価（税込）（数字のみ記入）","↓（レンタル・リース料４の単価（税込）（数字のみ記入））"))))</f>
        <v>↓</v>
      </c>
      <c r="B230" s="381" t="str">
        <f>IF(B216="はい", 収支予算書!H57,"")</f>
        <v/>
      </c>
      <c r="C230" t="s">
        <v>508</v>
      </c>
    </row>
    <row r="231" spans="1:3" x14ac:dyDescent="0.45">
      <c r="A231" t="str">
        <f>IF(B212="","↓",IF(B212="いいえ","↓（レンタル・リース料４の（数量）（数字のみ記入））",IF(B216="","↓（レンタル・リース料４の（数量）（数字のみ記入））",IF(B216="はい","レンタル・リース料４の（数量）（数字のみ記入）","↓（レンタル・リース料４の（数量）（数字のみ記入））"))))</f>
        <v>↓</v>
      </c>
      <c r="B231" s="381" t="str">
        <f>IF(B216="はい", 収支予算書!I57,"")</f>
        <v/>
      </c>
      <c r="C231" t="s">
        <v>549</v>
      </c>
    </row>
    <row r="232" spans="1:3" x14ac:dyDescent="0.45">
      <c r="A232" t="str">
        <f>IF(B212="","↓",IF(B212="いいえ","↓（レンタル・リース料４の変更理由）",IF(B216="","↓（レンタル・リース料４の変更理由）",IF(B216="はい","レンタル・リース料４の変更理由","レンタル・リース料４の変更理由"))))</f>
        <v>↓</v>
      </c>
      <c r="B232" s="381"/>
      <c r="C232" t="str">
        <f>IF(B216="いいえ","←"&amp;収支予算書!G57&amp;"の変更理由を記入してください","")</f>
        <v/>
      </c>
    </row>
    <row r="233" spans="1:3" x14ac:dyDescent="0.45">
      <c r="A233" t="s">
        <v>363</v>
      </c>
      <c r="B233" s="380"/>
      <c r="C233" t="s">
        <v>98</v>
      </c>
    </row>
    <row r="234" spans="1:3" ht="37.799999999999997" customHeight="1" x14ac:dyDescent="0.45">
      <c r="A234" s="119" t="str">
        <f>IF(B233="はい",IF(入力フォーム!B357="","↓", "収支予算書に計上された「"&amp;入力フォーム!B357&amp;"」の支出はありますか"),IF(B233="いいえ","↓","↓"))</f>
        <v>↓</v>
      </c>
      <c r="B234" s="381"/>
      <c r="C234" t="s">
        <v>98</v>
      </c>
    </row>
    <row r="235" spans="1:3" ht="37.799999999999997" customHeight="1" x14ac:dyDescent="0.45">
      <c r="A235" s="119" t="str">
        <f>IF(B233="はい",IF(入力フォーム!B360="","↓", "収支予算書に計上された「"&amp;入力フォーム!B360&amp;"」の支出はありますか"),IF(B233="いいえ","↓","↓"))</f>
        <v>↓</v>
      </c>
      <c r="B235" s="381"/>
      <c r="C235" t="s">
        <v>98</v>
      </c>
    </row>
    <row r="236" spans="1:3" ht="37.799999999999997" customHeight="1" x14ac:dyDescent="0.45">
      <c r="A236" s="119" t="str">
        <f>IF(B233="はい",IF(入力フォーム!B363="","↓", "収支予算書に計上された「"&amp;入力フォーム!B363&amp;"」の支出はありますか"),IF(B233="いいえ","↓","↓"))</f>
        <v>↓</v>
      </c>
      <c r="B236" s="381"/>
      <c r="C236" t="s">
        <v>98</v>
      </c>
    </row>
    <row r="237" spans="1:3" ht="37.799999999999997" customHeight="1" x14ac:dyDescent="0.45">
      <c r="A237" s="119" t="str">
        <f>IF(B233="はい",IF(入力フォーム!B366="","↓", "収支予算書に計上された「"&amp;入力フォーム!B366&amp;"」の支出はありますか"),IF(B233="いいえ","↓","↓"))</f>
        <v>↓</v>
      </c>
      <c r="B237" s="381"/>
      <c r="C237" t="s">
        <v>98</v>
      </c>
    </row>
    <row r="238" spans="1:3" x14ac:dyDescent="0.45">
      <c r="A238" s="16" t="str">
        <f>IF(B233="","↓",IF(B233="いいえ","↓（工事費１の支出内容）",IF(B234="","↓（工事費１の支出内容）",IF(B234="はい","工事費１の支出内容（例：盆踊り会場用電気工事）)","↓（工事費１の支出内容）"))))</f>
        <v>↓</v>
      </c>
      <c r="B238" s="381" t="str">
        <f>IF(B234="はい", 収支予算書!G58,"")</f>
        <v/>
      </c>
      <c r="C238" t="str">
        <f>IF(B239="", "", IF(B239*IF(B240="一式",1, B240)&gt;50000, "←交付申請時に見積書を提出していない経費の場合は請求書等の内訳を示すものの添付が必要です", ""))</f>
        <v/>
      </c>
    </row>
    <row r="239" spans="1:3" x14ac:dyDescent="0.45">
      <c r="A239" t="str">
        <f>IF(B233="","↓",IF(B233="いいえ","↓（工事費１の単価（税込）（数字のみ記入））",IF(B234="","↓（工事費１の単価（税込）（数字のみ記入））",IF(B234="はい","工事費１の単価（税込）（数字のみ記入）","↓（工事費１の単価（税込）（数字のみ記入））"))))</f>
        <v>↓</v>
      </c>
      <c r="B239" s="381" t="str">
        <f>IF(B234="はい", 収支予算書!H58,"")</f>
        <v/>
      </c>
      <c r="C239" t="s">
        <v>508</v>
      </c>
    </row>
    <row r="240" spans="1:3" x14ac:dyDescent="0.45">
      <c r="A240" t="str">
        <f>IF(B233="","↓",IF(B233="いいえ","↓（工事費１の（数量）（数字のみ記入））",IF(B234="","↓（工事費１の（数量）（数字のみ記入））",IF(B234="はい","工事費１の（数量）（数字のみ記入）","↓（工事費１の（数量）（数字のみ記入））"))))</f>
        <v>↓</v>
      </c>
      <c r="B240" s="381" t="str">
        <f>IF(B234="はい", 収支予算書!I58,"")</f>
        <v/>
      </c>
      <c r="C240" t="s">
        <v>549</v>
      </c>
    </row>
    <row r="241" spans="1:3" x14ac:dyDescent="0.45">
      <c r="A241" t="str">
        <f>IF(B233="","↓",IF(B233="いいえ","↓（工事費１の変更理由）",IF(B234="","↓（工事費１の変更理由）",IF(B234="はい","工事費１の変更理由","工事費１の変更理由"))))</f>
        <v>↓</v>
      </c>
      <c r="B241" s="381"/>
      <c r="C241" t="str">
        <f>IF(B234="いいえ","←"&amp;収支予算書!G58&amp;"の変更理由を記入してください","")</f>
        <v/>
      </c>
    </row>
    <row r="242" spans="1:3" x14ac:dyDescent="0.45">
      <c r="A242" t="str">
        <f>IF(B233="","↓",IF(B233="いいえ","↓（工事費２の支出内容）",IF(B235="","↓（工事費２の支出内容）",IF(B235="はい","工事費２の支出内容","↓（工事費２の支出内容）"))))</f>
        <v>↓</v>
      </c>
      <c r="B242" s="381" t="str">
        <f>IF(B235="はい", 収支予算書!G59,"")</f>
        <v/>
      </c>
      <c r="C242" t="str">
        <f>IF(B243="", "", IF(B243*IF(B244="一式",1, B244)&gt;50000, "←交付申請時に見積書を提出していない経費の場合は請求書等の内訳を示すものの添付が必要です", ""))</f>
        <v/>
      </c>
    </row>
    <row r="243" spans="1:3" x14ac:dyDescent="0.45">
      <c r="A243" t="str">
        <f>IF(B233="","↓",IF(B233="いいえ","↓（工事費２の単価（税込）（数字のみ記入））",IF(B235="","↓（工事費２の単価（税込）（数字のみ記入））",IF(B235="はい","工事費２の単価（税込）（数字のみ記入）","↓（工事費２の単価（税込）（数字のみ記入））"))))</f>
        <v>↓</v>
      </c>
      <c r="B243" s="381" t="str">
        <f>IF(B235="はい", 収支予算書!H59,"")</f>
        <v/>
      </c>
      <c r="C243" t="s">
        <v>508</v>
      </c>
    </row>
    <row r="244" spans="1:3" x14ac:dyDescent="0.45">
      <c r="A244" t="str">
        <f>IF(B233="","↓",IF(B233="いいえ","↓（工事費２の（数量）（数字のみ記入））",IF(B235="","↓（工事費２の（数量）（数字のみ記入））",IF(B235="はい","工事費２の（数量）（数字のみ記入）","↓（工事費２の（数量）（数字のみ記入））"))))</f>
        <v>↓</v>
      </c>
      <c r="B244" s="381" t="str">
        <f>IF(B235="はい", 収支予算書!I59,"")</f>
        <v/>
      </c>
      <c r="C244" t="s">
        <v>549</v>
      </c>
    </row>
    <row r="245" spans="1:3" x14ac:dyDescent="0.45">
      <c r="A245" t="str">
        <f>IF(B233="","↓",IF(B233="いいえ","↓（工事費２の変更理由）",IF(B235="","↓（工事費２の変更理由）",IF(B235="はい","工事費２の変更理由","工事費２の変更理由"))))</f>
        <v>↓</v>
      </c>
      <c r="B245" s="381"/>
      <c r="C245" t="str">
        <f>IF(B235="いいえ","←"&amp;収支予算書!G59&amp;"の変更理由を記入してください","")</f>
        <v/>
      </c>
    </row>
    <row r="246" spans="1:3" x14ac:dyDescent="0.45">
      <c r="A246" t="str">
        <f>IF(B233="","↓",IF(B233="いいえ","↓（工事費３の支出内容）",IF(B236="","↓（工事費３の支出内容）",IF(B236="はい","工事費３の支出内容","↓（工事費３の支出内容）"))))</f>
        <v>↓</v>
      </c>
      <c r="B246" s="381" t="str">
        <f>IF(B236="はい", 収支予算書!G60,"")</f>
        <v/>
      </c>
      <c r="C246" t="str">
        <f>IF(B247="", "", IF(B247*IF(B248="一式",1, B248)&gt;50000, "←交付申請時に見積書を提出していない経費の場合は請求書等の内訳を示すものの添付が必要です", ""))</f>
        <v/>
      </c>
    </row>
    <row r="247" spans="1:3" x14ac:dyDescent="0.45">
      <c r="A247" t="str">
        <f>IF(B233="","↓",IF(B233="いいえ","↓（工事費３の単価（税込）（数字のみ記入））",IF(B236="","↓（工事費３の単価（税込）（数字のみ記入））",IF(B236="はい","工事費３の単価（税込）（数字のみ記入）","↓（工事費３の単価（税込）（数字のみ記入））"))))</f>
        <v>↓</v>
      </c>
      <c r="B247" s="381" t="str">
        <f>IF(B236="はい", 収支予算書!H60,"")</f>
        <v/>
      </c>
      <c r="C247" t="s">
        <v>508</v>
      </c>
    </row>
    <row r="248" spans="1:3" x14ac:dyDescent="0.45">
      <c r="A248" t="str">
        <f>IF(B233="","↓",IF(B233="いいえ","↓（工事費３の（数量）（数字のみ記入））",IF(B236="","↓（工事費３の（数量）（数字のみ記入））",IF(B236="はい","工事費３の（数量）（数字のみ記入）","↓（工事費３の（数量）（数字のみ記入））"))))</f>
        <v>↓</v>
      </c>
      <c r="B248" s="381" t="str">
        <f>IF(B236="はい", 収支予算書!I60,"")</f>
        <v/>
      </c>
      <c r="C248" t="s">
        <v>549</v>
      </c>
    </row>
    <row r="249" spans="1:3" x14ac:dyDescent="0.45">
      <c r="A249" t="str">
        <f>IF(B233="","↓",IF(B233="いいえ","↓（工事費３の変更理由）",IF(B236="","↓（工事費３の変更理由）",IF(B236="はい","工事費３の変更理由","工事費３の変更理由"))))</f>
        <v>↓</v>
      </c>
      <c r="B249" s="381"/>
      <c r="C249" t="str">
        <f>IF(B236="いいえ","←"&amp;収支予算書!G60&amp;"の変更理由を記入してください","")</f>
        <v/>
      </c>
    </row>
    <row r="250" spans="1:3" x14ac:dyDescent="0.45">
      <c r="A250" t="str">
        <f>IF(B233="","↓",IF(B233="いいえ","↓（工事費４の支出内容）",IF(B237="","↓（工事費４の支出内容）",IF(B237="はい","工事費４の支出内容","↓（工事費４の支出内容）"))))</f>
        <v>↓</v>
      </c>
      <c r="B250" s="381" t="str">
        <f>IF(B237="はい", 収支予算書!G61,"")</f>
        <v/>
      </c>
      <c r="C250" t="str">
        <f>IF(B251="", "", IF(B251*IF(B252="一式",1, B252)&gt;50000, "←交付申請時に見積書を提出していない経費の場合は請求書等の内訳を示すものの添付が必要です", ""))</f>
        <v/>
      </c>
    </row>
    <row r="251" spans="1:3" x14ac:dyDescent="0.45">
      <c r="A251" t="str">
        <f>IF(B233="","↓",IF(B233="いいえ","↓（工事費４の単価（税込）（数字のみ記入））",IF(B237="","↓（工事費４の単価（税込）（数字のみ記入））",IF(B237="はい","工事費４の単価（税込）（数字のみ記入）","↓（工事費４の単価（税込）（数字のみ記入））"))))</f>
        <v>↓</v>
      </c>
      <c r="B251" s="381" t="str">
        <f>IF(B237="はい", 収支予算書!H61,"")</f>
        <v/>
      </c>
      <c r="C251" t="s">
        <v>508</v>
      </c>
    </row>
    <row r="252" spans="1:3" x14ac:dyDescent="0.45">
      <c r="A252" t="str">
        <f>IF(B233="","↓",IF(B233="いいえ","↓（工事費４の（数量）（数字のみ記入））",IF(B237="","↓（工事費４の（数量）（数字のみ記入））",IF(B237="はい","工事費４の（数量）（数字のみ記入）","↓（工事費４の（数量）（数字のみ記入））"))))</f>
        <v>↓</v>
      </c>
      <c r="B252" s="381" t="str">
        <f>IF(B237="はい", 収支予算書!I61,"")</f>
        <v/>
      </c>
      <c r="C252" t="s">
        <v>549</v>
      </c>
    </row>
    <row r="253" spans="1:3" x14ac:dyDescent="0.45">
      <c r="A253" t="str">
        <f>IF(B233="","↓",IF(B233="いいえ","↓（工事費４の変更理由）",IF(B237="","↓（工事費４の変更理由）",IF(B237="はい","工事費４の変更理由","工事費４の変更理由"))))</f>
        <v>↓</v>
      </c>
      <c r="B253" s="381"/>
      <c r="C253" t="str">
        <f>IF(B237="いいえ","←"&amp;収支予算書!G61&amp;"の変更理由を記入してください","")</f>
        <v/>
      </c>
    </row>
    <row r="254" spans="1:3" x14ac:dyDescent="0.45">
      <c r="A254" t="s">
        <v>364</v>
      </c>
      <c r="B254" s="380"/>
      <c r="C254" t="s">
        <v>98</v>
      </c>
    </row>
    <row r="255" spans="1:3" ht="37.799999999999997" customHeight="1" x14ac:dyDescent="0.45">
      <c r="A255" s="119" t="str">
        <f>IF(B254="はい",IF(入力フォーム!B370="","↓", "収支予算書に計上された「"&amp;入力フォーム!B370&amp;"」の支出はありますか"),IF(B254="いいえ","↓","↓"))</f>
        <v>↓</v>
      </c>
      <c r="B255" s="381"/>
      <c r="C255" t="s">
        <v>98</v>
      </c>
    </row>
    <row r="256" spans="1:3" ht="37.799999999999997" customHeight="1" x14ac:dyDescent="0.45">
      <c r="A256" s="119" t="str">
        <f>IF(B254="はい",IF(入力フォーム!B373="","↓", "収支予算書に計上された「"&amp;入力フォーム!B373&amp;"」の支出はありますか"),IF(B254="いいえ","↓","↓"))</f>
        <v>↓</v>
      </c>
      <c r="B256" s="381"/>
      <c r="C256" t="s">
        <v>98</v>
      </c>
    </row>
    <row r="257" spans="1:4" ht="37.799999999999997" customHeight="1" x14ac:dyDescent="0.45">
      <c r="A257" s="119" t="str">
        <f>IF(B254="はい",IF(入力フォーム!B376="","↓", "収支予算書に計上された「"&amp;入力フォーム!B376&amp;"」の支出はありますか"),IF(B254="いいえ","↓","↓"))</f>
        <v>↓</v>
      </c>
      <c r="B257" s="381"/>
      <c r="C257" t="s">
        <v>98</v>
      </c>
    </row>
    <row r="258" spans="1:4" ht="37.799999999999997" customHeight="1" x14ac:dyDescent="0.45">
      <c r="A258" s="119" t="str">
        <f>IF(B254="はい",IF(入力フォーム!B379="","↓", "収支予算書に計上された「"&amp;入力フォーム!B379&amp;"」の支出はありますか"),IF(B254="いいえ","↓","↓"))</f>
        <v>↓</v>
      </c>
      <c r="B258" s="381"/>
      <c r="C258" t="s">
        <v>98</v>
      </c>
    </row>
    <row r="259" spans="1:4" x14ac:dyDescent="0.45">
      <c r="A259" s="16" t="str">
        <f>IF(B254="","↓",IF(B254="いいえ","↓（助成対象外経費１の支出内容）",IF(B255="","↓（助成対象外経費１の支出内容）",IF(B255="はい","助成対象外経費１の支出内容","↓（助成対象外経費１の支出内容）"))))</f>
        <v>↓</v>
      </c>
      <c r="B259" s="381" t="str">
        <f>IF(B255="はい", 収支予算書!G63,"")</f>
        <v/>
      </c>
    </row>
    <row r="260" spans="1:4" x14ac:dyDescent="0.45">
      <c r="A260" t="str">
        <f>IF(B254="","↓",IF(B254="いいえ","↓（助成対象外経費１の単価（税込）（数字のみ記入））",IF(B255="","↓（助成対象外経費１の単価（税込）（数字のみ記入））",IF(B255="はい","助成対象外経費１の単価（税込）（数字のみ記入）","↓（助成対象外経費１の単価（税込）（数字のみ記入））"))))</f>
        <v>↓</v>
      </c>
      <c r="B260" s="381" t="str">
        <f>IF(B255="はい", 収支予算書!H63,"")</f>
        <v/>
      </c>
      <c r="C260" t="s">
        <v>508</v>
      </c>
      <c r="D260" t="str">
        <f>IFERROR(B260*IF(B261="一式",1,B261),"")</f>
        <v/>
      </c>
    </row>
    <row r="261" spans="1:4" x14ac:dyDescent="0.45">
      <c r="A261" t="str">
        <f>IF(B254="","↓",IF(B254="いいえ","↓（助成対象外経費１の（数量）（数字のみ記入））",IF(B255="","↓（助成対象外経費１の（数量）（数字のみ記入））",IF(B255="はい","助成対象外経費１の（数量）（数字のみ記入）","↓（助成対象外経費１の（数量）（数字のみ記入））"))))</f>
        <v>↓</v>
      </c>
      <c r="B261" s="381" t="str">
        <f>IF(B255="はい", 収支予算書!I63,"")</f>
        <v/>
      </c>
      <c r="C261" t="s">
        <v>549</v>
      </c>
    </row>
    <row r="262" spans="1:4" x14ac:dyDescent="0.45">
      <c r="A262" t="str">
        <f>IF(B254="","↓",IF(B254="いいえ","↓（助成対象外経費２の支出内容）",IF(B256="","↓（助成対象外経費２の支出内容）",IF(B256="はい","助成対象外経費２の支出内容","↓（助成対象外経費２の支出内容）"))))</f>
        <v>↓</v>
      </c>
      <c r="B262" s="381" t="str">
        <f>IF(B256="はい", 収支予算書!G64,"")</f>
        <v/>
      </c>
    </row>
    <row r="263" spans="1:4" x14ac:dyDescent="0.45">
      <c r="A263" t="str">
        <f>IF(B254="","↓",IF(B254="いいえ","↓（助成対象外経費２の単価（税込）（数字のみ記入））",IF(B256="","↓（助成対象外経費２の単価（税込）（数字のみ記入））",IF(B256="はい","助成対象外経費２の単価（税込）（数字のみ記入）","↓（助成対象外経費２の単価（税込）（数字のみ記入））"))))</f>
        <v>↓</v>
      </c>
      <c r="B263" s="381" t="str">
        <f>IF(B256="はい", 収支予算書!H64,"")</f>
        <v/>
      </c>
      <c r="C263" t="s">
        <v>508</v>
      </c>
      <c r="D263" t="str">
        <f>IFERROR(B263*IF(B264="一式",1,B264),"")</f>
        <v/>
      </c>
    </row>
    <row r="264" spans="1:4" x14ac:dyDescent="0.45">
      <c r="A264" t="str">
        <f>IF(B254="","↓",IF(B254="いいえ","↓（助成対象外経費２の（数量）（数字のみ記入））",IF(B256="","↓（助成対象外経費２の（数量）（数字のみ記入））",IF(B256="はい","助成対象外経費２の（数量）（数字のみ記入）","↓（助成対象外経費２の（数量）（数字のみ記入））"))))</f>
        <v>↓</v>
      </c>
      <c r="B264" s="381" t="str">
        <f>IF(B256="はい", 収支予算書!I64,"")</f>
        <v/>
      </c>
      <c r="C264" t="s">
        <v>549</v>
      </c>
    </row>
    <row r="265" spans="1:4" x14ac:dyDescent="0.45">
      <c r="A265" t="str">
        <f>IF(B254="","↓",IF(B254="いいえ","↓（助成対象外経費３の支出内容）",IF(B257="","↓（助成対象外経費３の支出内容）",IF(B257="はい","助成対象外経費３の支出内容","↓（助成対象外経費３の支出内容）"))))</f>
        <v>↓</v>
      </c>
      <c r="B265" s="381" t="str">
        <f>IF(B257="はい", 収支予算書!G65,"")</f>
        <v/>
      </c>
    </row>
    <row r="266" spans="1:4" x14ac:dyDescent="0.45">
      <c r="A266" t="str">
        <f>IF(B254="","↓",IF(B254="いいえ","↓（助成対象外経費３の単価（税込）（数字のみ記入））",IF(B257="","↓（助成対象外経費３の単価（税込）（数字のみ記入））",IF(B257="はい","助成対象外経費３の単価（税込）（数字のみ記入）","↓（助成対象外経費３の単価（税込）（数字のみ記入））"))))</f>
        <v>↓</v>
      </c>
      <c r="B266" s="381" t="str">
        <f>IF(B257="はい", 収支予算書!H65,"")</f>
        <v/>
      </c>
      <c r="C266" t="s">
        <v>508</v>
      </c>
      <c r="D266" t="str">
        <f>IFERROR(B266*IF(B267="一式",1,B267),"")</f>
        <v/>
      </c>
    </row>
    <row r="267" spans="1:4" x14ac:dyDescent="0.45">
      <c r="A267" t="str">
        <f>IF(B254="","↓",IF(B254="いいえ","↓（助成対象外経費３の（数量）（数字のみ記入））",IF(B257="","↓（助成対象外経費３の（数量）（数字のみ記入））",IF(B257="はい","助成対象外経費３の（数量）（数字のみ記入）","↓（助成対象外経費３の（数量）（数字のみ記入））"))))</f>
        <v>↓</v>
      </c>
      <c r="B267" s="381" t="str">
        <f>IF(B257="はい", 収支予算書!I65,"")</f>
        <v/>
      </c>
      <c r="C267" t="s">
        <v>549</v>
      </c>
    </row>
    <row r="268" spans="1:4" x14ac:dyDescent="0.45">
      <c r="A268" t="str">
        <f>IF(B254="","↓",IF(B254="いいえ","↓（助成対象外経費４の支出内容）",IF(B258="","↓（助成対象外経費４の支出内容）",IF(B258="はい","助成対象外経費４の支出内容","↓（助成対象外経費４の支出内容）"))))</f>
        <v>↓</v>
      </c>
      <c r="B268" s="381" t="str">
        <f>IF(B258="はい", 収支予算書!G66,"")</f>
        <v/>
      </c>
    </row>
    <row r="269" spans="1:4" x14ac:dyDescent="0.45">
      <c r="A269" t="str">
        <f>IF(B254="","↓",IF(B254="いいえ","↓（助成対象外経費４の単価（税込）（数字のみ記入））",IF(B258="","↓（助成対象外経費４の単価（税込）（数字のみ記入））",IF(B258="はい","助成対象外経費４の単価（税込）（数字のみ記入）","↓（助成対象外経費４の単価（税込）（数字のみ記入））"))))</f>
        <v>↓</v>
      </c>
      <c r="B269" s="381" t="str">
        <f>IF(B258="はい", 収支予算書!H66,"")</f>
        <v/>
      </c>
      <c r="C269" t="s">
        <v>508</v>
      </c>
      <c r="D269" t="str">
        <f>IFERROR(B269*IF(B270="一式",1,B270),"")</f>
        <v/>
      </c>
    </row>
    <row r="270" spans="1:4" x14ac:dyDescent="0.45">
      <c r="A270" t="str">
        <f>IF(B254="","↓",IF(B254="いいえ","↓（助成対象外経費４の（数量）（数字のみ記入））",IF(B258="","↓（助成対象外経費４の（数量）（数字のみ記入））",IF(B258="はい","助成対象外経費４の（数量）（数字のみ記入）","↓（助成対象外経費４の（数量）（数字のみ記入））"))))</f>
        <v>↓</v>
      </c>
      <c r="B270" s="381" t="str">
        <f>IF(B258="はい", 収支予算書!I66,"")</f>
        <v/>
      </c>
      <c r="C270" t="s">
        <v>549</v>
      </c>
    </row>
    <row r="271" spans="1:4" x14ac:dyDescent="0.45">
      <c r="A271" s="16" t="s">
        <v>365</v>
      </c>
      <c r="B271" s="380"/>
      <c r="C271" t="s">
        <v>98</v>
      </c>
    </row>
    <row r="272" spans="1:4" ht="37.799999999999997" customHeight="1" x14ac:dyDescent="0.45">
      <c r="A272" s="119" t="str">
        <f>IF(B271="はい",IF(入力フォーム!B383="","↓", "収支予算書に計上された「"&amp;入力フォーム!B383&amp;"」の支出はありますか"),IF(B271="いいえ","↓","↓"))</f>
        <v>↓</v>
      </c>
      <c r="B272" s="381"/>
      <c r="C272" t="s">
        <v>98</v>
      </c>
    </row>
    <row r="273" spans="1:5" x14ac:dyDescent="0.45">
      <c r="A273" s="16" t="str">
        <f>IF(B271="","↓",IF(B271="いいえ","↓（助成金以外の収入の種類）","助成金以外の収入の種類（例：寄付金）"))</f>
        <v>↓</v>
      </c>
      <c r="B273" s="381" t="str">
        <f>IF(B272="はい", 収支予算書!G11,"")</f>
        <v/>
      </c>
    </row>
    <row r="274" spans="1:5" x14ac:dyDescent="0.45">
      <c r="A274" t="str">
        <f>IF(B271="","↓",IF(B271="いいえ","↓（助成金以外の収入の金額（数字のみ記入））","助成金以外の収入の金額（数字のみ記入）"))</f>
        <v>↓</v>
      </c>
      <c r="B274" s="381" t="str">
        <f>IF(B272="はい", 入力フォーム!B384,"")</f>
        <v/>
      </c>
      <c r="C274" t="s">
        <v>508</v>
      </c>
    </row>
    <row r="275" spans="1:5" x14ac:dyDescent="0.45">
      <c r="A275" s="122" t="s">
        <v>184</v>
      </c>
      <c r="B275" s="261">
        <f>IF(B3="都町連",2000000,IF(B3="町自連",2000000,IF(B3="地区連",1000000,IF(入力フォーム!D36="Ｃ",500000,IF(入力フォーム!D36="Ｄ",300000,IF(B3="単一",200000,""))))))</f>
        <v>200000</v>
      </c>
    </row>
    <row r="276" spans="1:5" x14ac:dyDescent="0.45">
      <c r="A276" s="122" t="s">
        <v>185</v>
      </c>
      <c r="B276" s="261" t="str">
        <f>積算明細書!M54</f>
        <v/>
      </c>
    </row>
    <row r="277" spans="1:5" x14ac:dyDescent="0.45">
      <c r="A277" s="122" t="s">
        <v>186</v>
      </c>
      <c r="B277" s="261" t="str">
        <f>IFERROR((B276+SUM(D260,D263,D266,D269)),"")</f>
        <v/>
      </c>
    </row>
    <row r="278" spans="1:5" x14ac:dyDescent="0.45">
      <c r="A278" s="122" t="s">
        <v>187</v>
      </c>
      <c r="B278" s="261" t="str">
        <f>IFERROR(B277-IF(B274="",0,B274)-B279,"")</f>
        <v/>
      </c>
    </row>
    <row r="279" spans="1:5" x14ac:dyDescent="0.45">
      <c r="A279" s="121" t="s">
        <v>188</v>
      </c>
      <c r="B279" s="261" t="str">
        <f>IFERROR(IF(B277-E279&gt;IF(B274="",0,B274),E279,ROUNDDOWN(B277-IF(B274="",0,B274),-3)),"")</f>
        <v/>
      </c>
      <c r="E279" s="59" t="str">
        <f>IFERROR(IF(ROUNDDOWN(B276*入力フォーム!D40,-3)&gt;B275,B275,ROUNDDOWN(B276*入力フォーム!D40,-3)),"")</f>
        <v/>
      </c>
    </row>
  </sheetData>
  <sheetProtection sheet="1" objects="1" scenarios="1"/>
  <dataConsolidate/>
  <phoneticPr fontId="1"/>
  <conditionalFormatting sqref="A2:A279">
    <cfRule type="containsText" dxfId="58" priority="783" operator="containsText" text="↓">
      <formula>NOT(ISERROR(SEARCH("↓",A2)))</formula>
    </cfRule>
    <cfRule type="containsBlanks" dxfId="57" priority="784">
      <formula>LEN(TRIM(A2))=0</formula>
    </cfRule>
  </conditionalFormatting>
  <conditionalFormatting sqref="B22:B29">
    <cfRule type="expression" dxfId="56" priority="227">
      <formula>A22="↓"</formula>
    </cfRule>
  </conditionalFormatting>
  <conditionalFormatting sqref="B30:B41">
    <cfRule type="expression" dxfId="55" priority="234">
      <formula>COUNTIF($A30,"*↓*")</formula>
    </cfRule>
  </conditionalFormatting>
  <conditionalFormatting sqref="B43:B62">
    <cfRule type="expression" dxfId="54" priority="207">
      <formula>COUNTIF($A43,"*↓*")</formula>
    </cfRule>
  </conditionalFormatting>
  <conditionalFormatting sqref="B64:B148">
    <cfRule type="expression" dxfId="53" priority="122">
      <formula>COUNTIF($A64,"*↓*")</formula>
    </cfRule>
  </conditionalFormatting>
  <conditionalFormatting sqref="B150:B169">
    <cfRule type="expression" dxfId="52" priority="102">
      <formula>COUNTIF($A150,"*↓*")</formula>
    </cfRule>
  </conditionalFormatting>
  <conditionalFormatting sqref="B171:B190">
    <cfRule type="expression" dxfId="51" priority="80">
      <formula>COUNTIF($A171,"*↓*")</formula>
    </cfRule>
  </conditionalFormatting>
  <conditionalFormatting sqref="B192:B211">
    <cfRule type="expression" dxfId="50" priority="60">
      <formula>COUNTIF($A192,"*↓*")</formula>
    </cfRule>
  </conditionalFormatting>
  <conditionalFormatting sqref="B213:B232">
    <cfRule type="expression" dxfId="49" priority="40">
      <formula>COUNTIF($A213,"*↓*")</formula>
    </cfRule>
  </conditionalFormatting>
  <conditionalFormatting sqref="B234:B253">
    <cfRule type="expression" dxfId="48" priority="20">
      <formula>COUNTIF($A234,"*↓*")</formula>
    </cfRule>
  </conditionalFormatting>
  <conditionalFormatting sqref="B255:B270">
    <cfRule type="expression" dxfId="47" priority="4">
      <formula>COUNTIF($A255,"*↓*")</formula>
    </cfRule>
  </conditionalFormatting>
  <conditionalFormatting sqref="B272:B274">
    <cfRule type="expression" dxfId="46" priority="1">
      <formula>COUNTIF($A272,"*↓*")</formula>
    </cfRule>
  </conditionalFormatting>
  <conditionalFormatting sqref="C26 C29:C30 C33:C34 C37:C38 C41 C47 C50:C51 C54 C58:C59 C62 C81 C84:C85 C88:C89 C92:C93 C96:C97 C100:C101 C104:C105 C108:C109 C112:C113 C116:C117 C120:C121 C124:C125 C128:C129 C132:C133 C136:C137 C140:C141 C144:C145 C148 C154 C157:C158 C161:C162 C165:C166 C169 C175 C178:C179 C182:C183 C186:C187 C190 C196 C199:C200 C203:C204 C207:C208 C211 C217 C220:C221 C224:C225 C228:C229 C232 C238 C241:C242 C245:C246 C249:C250 C253">
    <cfRule type="containsText" dxfId="45" priority="782" operator="containsText" text="←">
      <formula>NOT(ISERROR(SEARCH("←",C26)))</formula>
    </cfRule>
  </conditionalFormatting>
  <dataValidations count="4">
    <dataValidation type="list" allowBlank="1" showInputMessage="1" showErrorMessage="1" sqref="B233:B237 B212:B216 B254:B258 B21:B25 B42:B46 B63:B80 B149:B153 B170:B174 B191:B195 B271:B272" xr:uid="{00000000-0002-0000-0600-000000000000}">
      <formula1>"はい,いいえ"</formula1>
    </dataValidation>
    <dataValidation type="list" allowBlank="1" showInputMessage="1" showErrorMessage="1" sqref="B3" xr:uid="{00000000-0002-0000-0600-000001000000}">
      <formula1>"単一,地区連,町自連,都町連"</formula1>
    </dataValidation>
    <dataValidation type="list" allowBlank="1" sqref="B18" xr:uid="{00000000-0002-0000-0600-000002000000}">
      <formula1>"事業の中止,事業の縮小,事業の内容変更,事業に要する経費の配分変更,交付申請の取下げ"</formula1>
    </dataValidation>
    <dataValidation type="list" allowBlank="1" showInputMessage="1" sqref="B20" xr:uid="{00000000-0002-0000-0600-000003000000}">
      <formula1>"あり（別添のとおり）,なし（経費の変更なし）,なし（支出０円）"</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5:G50"/>
  <sheetViews>
    <sheetView view="pageBreakPreview" topLeftCell="A9" zoomScaleNormal="100" zoomScaleSheetLayoutView="100" workbookViewId="0">
      <selection activeCell="B32" sqref="B32:F32"/>
    </sheetView>
  </sheetViews>
  <sheetFormatPr defaultRowHeight="13.2" x14ac:dyDescent="0.45"/>
  <cols>
    <col min="1" max="1" width="3.19921875" style="11" customWidth="1"/>
    <col min="2" max="2" width="9.796875" style="11" customWidth="1"/>
    <col min="3" max="3" width="30.296875" style="11" customWidth="1"/>
    <col min="4" max="4" width="11.296875" style="11" customWidth="1"/>
    <col min="5" max="5" width="30.8984375" style="11" customWidth="1"/>
    <col min="6" max="6" width="2.69921875" style="11" customWidth="1"/>
    <col min="7" max="10" width="9.5" style="11" customWidth="1"/>
    <col min="11" max="16384" width="8.796875" style="11"/>
  </cols>
  <sheetData>
    <row r="5" spans="1:7" x14ac:dyDescent="0.45">
      <c r="A5" s="10"/>
      <c r="B5" s="10"/>
    </row>
    <row r="6" spans="1:7" ht="14.4" x14ac:dyDescent="0.45">
      <c r="A6" s="315" t="s">
        <v>304</v>
      </c>
      <c r="B6" s="12"/>
    </row>
    <row r="8" spans="1:7" ht="14.4" x14ac:dyDescent="0.45">
      <c r="F8" s="74" t="s">
        <v>5</v>
      </c>
    </row>
    <row r="9" spans="1:7" ht="14.4" x14ac:dyDescent="0.45">
      <c r="A9" s="72" t="s">
        <v>2</v>
      </c>
    </row>
    <row r="10" spans="1:7" ht="15" thickBot="1" x14ac:dyDescent="0.5">
      <c r="D10" s="72"/>
      <c r="E10" s="72"/>
    </row>
    <row r="11" spans="1:7" ht="26.4" customHeight="1" thickBot="1" x14ac:dyDescent="0.5">
      <c r="B11" s="334" t="s">
        <v>11</v>
      </c>
      <c r="C11" s="341" t="str">
        <f>変更申請入力フォーム!B2&amp;""</f>
        <v>東京一丁目町会</v>
      </c>
      <c r="D11" s="331" t="s">
        <v>406</v>
      </c>
      <c r="E11" s="357" t="str">
        <f>変更申請入力フォーム!B6&amp;"　"&amp;変更申請入力フォーム!B7</f>
        <v>会長　東京　太郎</v>
      </c>
      <c r="F11" s="330" t="s">
        <v>450</v>
      </c>
      <c r="G11" s="11" t="s">
        <v>97</v>
      </c>
    </row>
    <row r="12" spans="1:7" ht="13.2" customHeight="1" x14ac:dyDescent="0.45">
      <c r="B12" s="423" t="s">
        <v>12</v>
      </c>
      <c r="C12" s="336" t="str">
        <f>IF(変更申請入力フォーム!B4="", "〒", 変更申請入力フォーム!B4)</f>
        <v>〒111-0001</v>
      </c>
      <c r="D12" s="419" t="s">
        <v>13</v>
      </c>
      <c r="E12" s="395" t="str">
        <f>変更申請入力フォーム!B8&amp;""</f>
        <v>03-5321-XXXX</v>
      </c>
      <c r="F12" s="396"/>
      <c r="G12" s="11" t="s">
        <v>97</v>
      </c>
    </row>
    <row r="13" spans="1:7" ht="13.2" customHeight="1" x14ac:dyDescent="0.45">
      <c r="B13" s="414"/>
      <c r="C13" s="347" t="str">
        <f>変更申請入力フォーム!B5&amp;""</f>
        <v>○○区△△１－２－１</v>
      </c>
      <c r="D13" s="420"/>
      <c r="E13" s="397"/>
      <c r="F13" s="398"/>
    </row>
    <row r="14" spans="1:7" ht="6.6" customHeight="1" x14ac:dyDescent="0.45">
      <c r="B14" s="335"/>
      <c r="C14" s="323"/>
      <c r="D14" s="323"/>
      <c r="E14" s="323"/>
      <c r="F14" s="323"/>
    </row>
    <row r="15" spans="1:7" ht="13.2" customHeight="1" x14ac:dyDescent="0.45">
      <c r="B15" s="512" t="s">
        <v>411</v>
      </c>
      <c r="C15" s="512"/>
      <c r="D15" s="512"/>
      <c r="E15" s="512"/>
      <c r="F15" s="512"/>
    </row>
    <row r="16" spans="1:7" ht="26.4" customHeight="1" x14ac:dyDescent="0.45">
      <c r="B16" s="339" t="s">
        <v>407</v>
      </c>
      <c r="C16" s="332" t="str">
        <f>変更申請入力フォーム!B9&amp;""</f>
        <v>副会長</v>
      </c>
      <c r="D16" s="291" t="s">
        <v>410</v>
      </c>
      <c r="E16" s="399" t="str">
        <f>変更申請入力フォーム!B10&amp;""</f>
        <v>新宿　花子</v>
      </c>
      <c r="F16" s="400"/>
      <c r="G16" s="11" t="s">
        <v>97</v>
      </c>
    </row>
    <row r="17" spans="1:7" ht="12.6" customHeight="1" x14ac:dyDescent="0.45">
      <c r="B17" s="517" t="s">
        <v>408</v>
      </c>
      <c r="C17" s="337" t="str">
        <f>IF(変更申請入力フォーム!B11="", "〒", 変更申請入力フォーム!B11)</f>
        <v>〒111-0002</v>
      </c>
      <c r="D17" s="421" t="s">
        <v>445</v>
      </c>
      <c r="E17" s="401" t="str">
        <f>IF(AND(変更申請入力フォーム!B13&lt;&gt;"",変更申請入力フォーム!B14&lt;&gt;""),"①"&amp;変更申請入力フォーム!B13&amp;"/②"&amp;変更申請入力フォーム!B14,IF(AND(変更申請入力フォーム!B13&lt;&gt;"",変更申請入力フォーム!B14=""),"①"&amp;変更申請入力フォーム!B13,IF(AND(変更申請入力フォーム!B13="",変更申請入力フォーム!B14&lt;&gt;""),"②"&amp;変更申請入力フォーム!B14,"①　　　　　         　　　　　　　　　②")))</f>
        <v>①03-5321-YYYY/②090-1234-ZZZZ</v>
      </c>
      <c r="F17" s="402"/>
    </row>
    <row r="18" spans="1:7" ht="22.2" customHeight="1" x14ac:dyDescent="0.45">
      <c r="B18" s="518"/>
      <c r="C18" s="347" t="str">
        <f>変更申請入力フォーム!B12&amp;""</f>
        <v>○○区△△３－２－１４</v>
      </c>
      <c r="D18" s="420"/>
      <c r="E18" s="403"/>
      <c r="F18" s="404"/>
      <c r="G18" s="11" t="s">
        <v>97</v>
      </c>
    </row>
    <row r="19" spans="1:7" ht="22.8" customHeight="1" x14ac:dyDescent="0.45">
      <c r="B19" s="340" t="s">
        <v>415</v>
      </c>
      <c r="C19" s="338" t="str">
        <f>変更申請入力フォーム!B15&amp;""</f>
        <v>03-5321-ZZZZ</v>
      </c>
      <c r="D19" s="331" t="s">
        <v>409</v>
      </c>
      <c r="E19" s="531" t="str">
        <f>変更申請入力フォーム!B16&amp;""</f>
        <v>hanako-s@toooo.xxxx.jp</v>
      </c>
      <c r="F19" s="532"/>
      <c r="G19" s="11" t="s">
        <v>97</v>
      </c>
    </row>
    <row r="20" spans="1:7" ht="13.2" customHeight="1" x14ac:dyDescent="0.45">
      <c r="C20" s="533" t="s">
        <v>18</v>
      </c>
      <c r="D20" s="533"/>
      <c r="E20" s="533"/>
      <c r="F20" s="533"/>
    </row>
    <row r="22" spans="1:7" ht="14.4" x14ac:dyDescent="0.45">
      <c r="A22" s="13" t="s">
        <v>305</v>
      </c>
      <c r="B22" s="13"/>
      <c r="C22" s="14"/>
      <c r="D22" s="14"/>
      <c r="E22" s="14"/>
      <c r="F22" s="14"/>
    </row>
    <row r="24" spans="1:7" ht="14.4" x14ac:dyDescent="0.45">
      <c r="A24" s="534" t="str">
        <f>IF(変更申請入力フォーム!B17="","令和　　年　　月　　日付けで令和７年度地域の底力発展事業助成金の交付決定を受けた事業",DBCS(TEXT(変更申請入力フォーム!B17,"ggge年m月d日"))&amp;"付けで令和７年度地域の底力発展事業助成金の交付決定を受けた事業")</f>
        <v>令和　　年　　月　　日付けで令和７年度地域の底力発展事業助成金の交付決定を受けた事業</v>
      </c>
      <c r="B24" s="534"/>
      <c r="C24" s="534"/>
      <c r="D24" s="534"/>
      <c r="E24" s="534"/>
      <c r="F24" s="534"/>
    </row>
    <row r="25" spans="1:7" ht="14.4" x14ac:dyDescent="0.45">
      <c r="A25" s="72" t="s">
        <v>398</v>
      </c>
    </row>
    <row r="26" spans="1:7" ht="14.4" x14ac:dyDescent="0.45">
      <c r="A26" s="72" t="s">
        <v>399</v>
      </c>
    </row>
    <row r="29" spans="1:7" ht="14.4" x14ac:dyDescent="0.45">
      <c r="A29" s="13" t="s">
        <v>4</v>
      </c>
      <c r="B29" s="14"/>
      <c r="C29" s="13"/>
      <c r="D29" s="14"/>
      <c r="E29" s="14"/>
      <c r="F29" s="14"/>
    </row>
    <row r="30" spans="1:7" ht="14.4" x14ac:dyDescent="0.45">
      <c r="A30" s="72"/>
      <c r="B30" s="72"/>
      <c r="C30" s="72"/>
      <c r="D30" s="72"/>
      <c r="E30" s="72"/>
      <c r="F30" s="72"/>
    </row>
    <row r="31" spans="1:7" ht="14.4" x14ac:dyDescent="0.45">
      <c r="A31" s="301" t="s">
        <v>6</v>
      </c>
      <c r="B31" s="279" t="s">
        <v>306</v>
      </c>
      <c r="C31" s="72"/>
      <c r="D31" s="72"/>
      <c r="E31" s="72"/>
      <c r="F31" s="72"/>
      <c r="G31" s="11" t="s">
        <v>97</v>
      </c>
    </row>
    <row r="32" spans="1:7" ht="14.4" x14ac:dyDescent="0.45">
      <c r="A32" s="301"/>
      <c r="B32" s="525" t="str">
        <f>入力フォーム!B146&amp;""</f>
        <v>電子回覧板アプリ導入に向けたアプリ使用講座</v>
      </c>
      <c r="C32" s="525"/>
      <c r="D32" s="525"/>
      <c r="E32" s="525"/>
      <c r="F32" s="525"/>
    </row>
    <row r="33" spans="1:7" ht="14.4" x14ac:dyDescent="0.45">
      <c r="A33" s="301"/>
      <c r="B33" s="72"/>
      <c r="C33" s="72"/>
      <c r="D33" s="72"/>
      <c r="E33" s="72"/>
      <c r="F33" s="72"/>
    </row>
    <row r="34" spans="1:7" ht="13.2" customHeight="1" x14ac:dyDescent="0.45">
      <c r="A34" s="72"/>
      <c r="B34" s="72"/>
      <c r="C34" s="72"/>
      <c r="D34" s="72"/>
      <c r="E34" s="72"/>
      <c r="F34" s="72"/>
    </row>
    <row r="35" spans="1:7" ht="14.4" x14ac:dyDescent="0.45">
      <c r="A35" s="301" t="s">
        <v>7</v>
      </c>
      <c r="B35" s="279" t="s">
        <v>307</v>
      </c>
      <c r="C35" s="303"/>
      <c r="D35" s="72"/>
      <c r="E35" s="72"/>
      <c r="F35" s="72"/>
      <c r="G35" s="11" t="s">
        <v>97</v>
      </c>
    </row>
    <row r="36" spans="1:7" ht="14.4" x14ac:dyDescent="0.45">
      <c r="A36" s="72"/>
      <c r="B36" s="525" t="str">
        <f>変更申請入力フォーム!B18&amp;""</f>
        <v/>
      </c>
      <c r="C36" s="525"/>
      <c r="D36" s="525"/>
      <c r="E36" s="525"/>
      <c r="F36" s="525"/>
    </row>
    <row r="37" spans="1:7" ht="14.4" x14ac:dyDescent="0.45">
      <c r="A37" s="72"/>
      <c r="B37" s="72"/>
      <c r="C37" s="72"/>
      <c r="D37" s="72"/>
      <c r="E37" s="72"/>
      <c r="F37" s="295"/>
    </row>
    <row r="38" spans="1:7" ht="13.2" customHeight="1" x14ac:dyDescent="0.45">
      <c r="A38" s="72"/>
      <c r="B38" s="72"/>
      <c r="C38" s="72"/>
      <c r="D38" s="72"/>
      <c r="E38" s="72"/>
      <c r="F38" s="72"/>
    </row>
    <row r="39" spans="1:7" ht="14.4" x14ac:dyDescent="0.45">
      <c r="A39" s="301" t="s">
        <v>8</v>
      </c>
      <c r="B39" s="279" t="s">
        <v>308</v>
      </c>
      <c r="C39" s="317"/>
      <c r="D39" s="72"/>
      <c r="E39" s="72"/>
      <c r="F39" s="72"/>
      <c r="G39" s="11" t="s">
        <v>97</v>
      </c>
    </row>
    <row r="40" spans="1:7" ht="14.4" x14ac:dyDescent="0.45">
      <c r="A40" s="301"/>
      <c r="B40" s="535" t="str">
        <f>変更申請入力フォーム!B19&amp;""</f>
        <v/>
      </c>
      <c r="C40" s="535"/>
      <c r="D40" s="535"/>
      <c r="E40" s="535"/>
      <c r="F40" s="535"/>
    </row>
    <row r="41" spans="1:7" ht="14.4" x14ac:dyDescent="0.45">
      <c r="A41" s="301"/>
      <c r="B41" s="535"/>
      <c r="C41" s="535"/>
      <c r="D41" s="535"/>
      <c r="E41" s="535"/>
      <c r="F41" s="535"/>
    </row>
    <row r="42" spans="1:7" ht="13.2" customHeight="1" x14ac:dyDescent="0.45">
      <c r="A42" s="72"/>
      <c r="B42" s="72"/>
      <c r="C42" s="72"/>
      <c r="D42" s="72"/>
      <c r="E42" s="72"/>
      <c r="F42" s="72"/>
    </row>
    <row r="43" spans="1:7" ht="14.4" x14ac:dyDescent="0.45">
      <c r="A43" s="301" t="s">
        <v>9</v>
      </c>
      <c r="B43" s="279" t="s">
        <v>309</v>
      </c>
      <c r="C43" s="295"/>
      <c r="D43" s="72"/>
      <c r="E43" s="72"/>
      <c r="F43" s="72"/>
      <c r="G43" s="11" t="s">
        <v>97</v>
      </c>
    </row>
    <row r="44" spans="1:7" ht="14.4" x14ac:dyDescent="0.45">
      <c r="A44" s="72"/>
      <c r="B44" s="525" t="str">
        <f>変更申請入力フォーム!B20&amp;""</f>
        <v/>
      </c>
      <c r="C44" s="525"/>
      <c r="D44" s="525"/>
      <c r="E44" s="525"/>
      <c r="F44" s="525"/>
    </row>
    <row r="47" spans="1:7" x14ac:dyDescent="0.45">
      <c r="A47" s="20"/>
      <c r="B47" s="21"/>
    </row>
    <row r="48" spans="1:7" x14ac:dyDescent="0.45">
      <c r="C48" s="161"/>
    </row>
    <row r="49" spans="2:3" x14ac:dyDescent="0.45">
      <c r="C49" s="161"/>
    </row>
    <row r="50" spans="2:3" x14ac:dyDescent="0.45">
      <c r="B50" s="15"/>
    </row>
  </sheetData>
  <sheetProtection sheet="1" objects="1" scenarios="1"/>
  <dataConsolidate/>
  <mergeCells count="15">
    <mergeCell ref="C20:F20"/>
    <mergeCell ref="B40:F41"/>
    <mergeCell ref="B36:F36"/>
    <mergeCell ref="B32:F32"/>
    <mergeCell ref="B44:F44"/>
    <mergeCell ref="A24:F24"/>
    <mergeCell ref="E19:F19"/>
    <mergeCell ref="B17:B18"/>
    <mergeCell ref="D17:D18"/>
    <mergeCell ref="B15:F15"/>
    <mergeCell ref="D12:D13"/>
    <mergeCell ref="B12:B13"/>
    <mergeCell ref="E12:F13"/>
    <mergeCell ref="E16:F16"/>
    <mergeCell ref="E17:F18"/>
  </mergeCells>
  <phoneticPr fontId="1"/>
  <pageMargins left="0.51181102362204722" right="0.51181102362204722" top="0.39370078740157483" bottom="0.39370078740157483" header="0.31496062992125984" footer="0.31496062992125984"/>
  <pageSetup paperSize="9" scale="96" orientation="portrait" r:id="rId1"/>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4"/>
  <sheetViews>
    <sheetView view="pageBreakPreview" topLeftCell="A33" zoomScaleNormal="100" zoomScaleSheetLayoutView="100" workbookViewId="0">
      <selection activeCell="K22" sqref="K22"/>
    </sheetView>
  </sheetViews>
  <sheetFormatPr defaultRowHeight="13.2" x14ac:dyDescent="0.45"/>
  <cols>
    <col min="1" max="1" width="1.69921875" style="60" customWidth="1"/>
    <col min="2" max="4" width="2" style="60" customWidth="1"/>
    <col min="5" max="5" width="4.296875" style="60" customWidth="1"/>
    <col min="6" max="6" width="10" style="60" customWidth="1"/>
    <col min="7" max="7" width="21.3984375" style="60" customWidth="1"/>
    <col min="8" max="8" width="8.19921875" style="60" customWidth="1"/>
    <col min="9" max="9" width="6" style="60" customWidth="1"/>
    <col min="10" max="10" width="9.59765625" style="60" customWidth="1"/>
    <col min="11" max="11" width="8.19921875" style="60" customWidth="1"/>
    <col min="12" max="12" width="6" style="60" customWidth="1"/>
    <col min="13" max="13" width="9.59765625" style="60" customWidth="1"/>
    <col min="14" max="14" width="8.796875" style="60"/>
    <col min="15" max="15" width="21" style="60" customWidth="1"/>
    <col min="16" max="16384" width="8.796875" style="60"/>
  </cols>
  <sheetData>
    <row r="1" spans="1:15" ht="6" customHeight="1" x14ac:dyDescent="0.45"/>
    <row r="2" spans="1:15" ht="87" customHeight="1" thickBot="1" x14ac:dyDescent="0.5">
      <c r="B2" s="62" t="s">
        <v>334</v>
      </c>
    </row>
    <row r="3" spans="1:15" ht="27" customHeight="1" thickBot="1" x14ac:dyDescent="0.5">
      <c r="A3" s="62"/>
      <c r="B3" s="62"/>
      <c r="C3" s="62"/>
      <c r="D3" s="62"/>
      <c r="E3" s="62"/>
      <c r="F3" s="62"/>
      <c r="G3" s="116"/>
      <c r="H3" s="162"/>
      <c r="I3" s="536" t="s">
        <v>335</v>
      </c>
      <c r="J3" s="537"/>
      <c r="K3" s="538"/>
      <c r="L3" s="539" t="str">
        <f>変更申請入力フォーム!B2</f>
        <v>東京一丁目町会</v>
      </c>
      <c r="M3" s="539"/>
      <c r="N3" s="539"/>
      <c r="O3" s="540"/>
    </row>
    <row r="4" spans="1:15" ht="22.5" customHeight="1" thickBot="1" x14ac:dyDescent="0.5">
      <c r="G4" s="70"/>
    </row>
    <row r="5" spans="1:15" x14ac:dyDescent="0.45">
      <c r="B5" s="541" t="s">
        <v>143</v>
      </c>
      <c r="C5" s="542"/>
      <c r="D5" s="542"/>
      <c r="E5" s="542"/>
      <c r="F5" s="543"/>
      <c r="G5" s="547" t="s">
        <v>144</v>
      </c>
      <c r="H5" s="541" t="s">
        <v>336</v>
      </c>
      <c r="I5" s="542"/>
      <c r="J5" s="549"/>
      <c r="K5" s="541" t="s">
        <v>337</v>
      </c>
      <c r="L5" s="542"/>
      <c r="M5" s="549"/>
      <c r="N5" s="163" t="s">
        <v>338</v>
      </c>
      <c r="O5" s="553" t="s">
        <v>339</v>
      </c>
    </row>
    <row r="6" spans="1:15" x14ac:dyDescent="0.45">
      <c r="B6" s="544"/>
      <c r="C6" s="545"/>
      <c r="D6" s="545"/>
      <c r="E6" s="545"/>
      <c r="F6" s="546"/>
      <c r="G6" s="548"/>
      <c r="H6" s="210" t="s">
        <v>274</v>
      </c>
      <c r="I6" s="164" t="s">
        <v>145</v>
      </c>
      <c r="J6" s="165" t="s">
        <v>340</v>
      </c>
      <c r="K6" s="210" t="s">
        <v>274</v>
      </c>
      <c r="L6" s="164" t="s">
        <v>145</v>
      </c>
      <c r="M6" s="165" t="s">
        <v>340</v>
      </c>
      <c r="N6" s="166" t="s">
        <v>135</v>
      </c>
      <c r="O6" s="554"/>
    </row>
    <row r="7" spans="1:15" ht="18" x14ac:dyDescent="0.45">
      <c r="B7" s="167" t="s">
        <v>146</v>
      </c>
      <c r="G7" s="168"/>
      <c r="H7" s="169"/>
      <c r="I7" s="170"/>
      <c r="J7" s="171"/>
      <c r="K7" s="169"/>
      <c r="L7" s="170"/>
      <c r="M7" s="171"/>
      <c r="N7" s="172"/>
      <c r="O7" s="173"/>
    </row>
    <row r="8" spans="1:15" ht="18" customHeight="1" x14ac:dyDescent="0.45">
      <c r="B8" s="167"/>
      <c r="C8" s="60" t="s">
        <v>341</v>
      </c>
      <c r="G8" s="174"/>
      <c r="H8" s="169"/>
      <c r="I8" s="170"/>
      <c r="J8" s="171"/>
      <c r="K8" s="169"/>
      <c r="L8" s="170"/>
      <c r="M8" s="171"/>
      <c r="N8" s="175"/>
      <c r="O8" s="173"/>
    </row>
    <row r="9" spans="1:15" ht="18" customHeight="1" x14ac:dyDescent="0.45">
      <c r="B9" s="167"/>
      <c r="C9" s="176"/>
      <c r="D9" s="552" t="s">
        <v>195</v>
      </c>
      <c r="E9" s="552"/>
      <c r="F9" s="552"/>
      <c r="G9" s="177" t="str">
        <f>収支予算書!G17&amp;""</f>
        <v>講座講師謝礼</v>
      </c>
      <c r="H9" s="189" t="str">
        <f>収支予算書!H17&amp;""</f>
        <v>20,000</v>
      </c>
      <c r="I9" s="227" t="str">
        <f>収支予算書!I17&amp;""</f>
        <v>2</v>
      </c>
      <c r="J9" s="228">
        <f>IFERROR(H9*IF(I9="一式", 1, I9),"")</f>
        <v>40000</v>
      </c>
      <c r="K9" s="229">
        <f>IF(変更申請入力フォーム!B27="", IF(J9&lt;&gt;"",0,""), 変更申請入力フォーム!B27)</f>
        <v>0</v>
      </c>
      <c r="L9" s="227">
        <f>IF(変更申請入力フォーム!B28="", IF(J9&lt;&gt;"",0,""),変更申請入力フォーム!B28)</f>
        <v>0</v>
      </c>
      <c r="M9" s="228">
        <f>IFERROR(K9*IF(L9="一式", 1, L9),"")</f>
        <v>0</v>
      </c>
      <c r="N9" s="243">
        <f>IFERROR(M9-J9,"")</f>
        <v>-40000</v>
      </c>
      <c r="O9" s="239" t="str">
        <f>変更申請入力フォーム!B29&amp;""</f>
        <v/>
      </c>
    </row>
    <row r="10" spans="1:15" ht="18" customHeight="1" x14ac:dyDescent="0.45">
      <c r="B10" s="167"/>
      <c r="G10" s="185" t="str">
        <f>収支予算書!G18&amp;""</f>
        <v/>
      </c>
      <c r="H10" s="191" t="str">
        <f>収支予算書!H18&amp;""</f>
        <v/>
      </c>
      <c r="I10" s="231" t="str">
        <f>収支予算書!I18&amp;""</f>
        <v/>
      </c>
      <c r="J10" s="232" t="str">
        <f t="shared" ref="J10:J53" si="0">IFERROR(H10*IF(I10="一式", 1, I10),"")</f>
        <v/>
      </c>
      <c r="K10" s="211" t="str">
        <f>IF(変更申請入力フォーム!B31="", IF(J10&lt;&gt;"",0,""), 変更申請入力フォーム!B31)</f>
        <v/>
      </c>
      <c r="L10" s="231" t="str">
        <f>IF(変更申請入力フォーム!B32="", IF(J10&lt;&gt;"",0,""),変更申請入力フォーム!B32)</f>
        <v/>
      </c>
      <c r="M10" s="232" t="str">
        <f t="shared" ref="M10:M53" si="1">IFERROR(K10*IF(L10="一式", 1, L10),"")</f>
        <v/>
      </c>
      <c r="N10" s="230" t="str">
        <f t="shared" ref="N10:N53" si="2">IFERROR(M10-J10,"")</f>
        <v/>
      </c>
      <c r="O10" s="240" t="str">
        <f>変更申請入力フォーム!B33&amp;""</f>
        <v/>
      </c>
    </row>
    <row r="11" spans="1:15" ht="18" customHeight="1" x14ac:dyDescent="0.45">
      <c r="B11" s="167"/>
      <c r="G11" s="185" t="str">
        <f>収支予算書!G19&amp;""</f>
        <v/>
      </c>
      <c r="H11" s="191" t="str">
        <f>収支予算書!H19&amp;""</f>
        <v/>
      </c>
      <c r="I11" s="231" t="str">
        <f>収支予算書!I19&amp;""</f>
        <v/>
      </c>
      <c r="J11" s="232" t="str">
        <f t="shared" si="0"/>
        <v/>
      </c>
      <c r="K11" s="211" t="str">
        <f>IF(変更申請入力フォーム!B35="", IF(J11&lt;&gt;"",0,""), 変更申請入力フォーム!B35)</f>
        <v/>
      </c>
      <c r="L11" s="231" t="str">
        <f>IF(変更申請入力フォーム!B36="", IF(J11&lt;&gt;"",0,""),変更申請入力フォーム!B36)</f>
        <v/>
      </c>
      <c r="M11" s="232" t="str">
        <f t="shared" si="1"/>
        <v/>
      </c>
      <c r="N11" s="230" t="str">
        <f t="shared" si="2"/>
        <v/>
      </c>
      <c r="O11" s="240" t="str">
        <f>変更申請入力フォーム!B37&amp;""</f>
        <v/>
      </c>
    </row>
    <row r="12" spans="1:15" ht="18" customHeight="1" x14ac:dyDescent="0.45">
      <c r="B12" s="167"/>
      <c r="G12" s="174" t="str">
        <f>収支予算書!G20&amp;""</f>
        <v/>
      </c>
      <c r="H12" s="194" t="str">
        <f>収支予算書!H20&amp;""</f>
        <v/>
      </c>
      <c r="I12" s="195" t="str">
        <f>収支予算書!I20&amp;""</f>
        <v/>
      </c>
      <c r="J12" s="187" t="str">
        <f t="shared" si="0"/>
        <v/>
      </c>
      <c r="K12" s="233" t="str">
        <f>IF(変更申請入力フォーム!B39="", IF(J12&lt;&gt;"",0,""), 変更申請入力フォーム!B39)</f>
        <v/>
      </c>
      <c r="L12" s="234" t="str">
        <f>IF(変更申請入力フォーム!B40="", IF(J12&lt;&gt;"",0,""),変更申請入力フォーム!B40)</f>
        <v/>
      </c>
      <c r="M12" s="235" t="str">
        <f t="shared" si="1"/>
        <v/>
      </c>
      <c r="N12" s="230" t="str">
        <f t="shared" si="2"/>
        <v/>
      </c>
      <c r="O12" s="241" t="str">
        <f>変更申請入力フォーム!B41&amp;""</f>
        <v/>
      </c>
    </row>
    <row r="13" spans="1:15" ht="18" customHeight="1" x14ac:dyDescent="0.45">
      <c r="B13" s="167"/>
      <c r="D13" s="552" t="s">
        <v>196</v>
      </c>
      <c r="E13" s="552"/>
      <c r="F13" s="552"/>
      <c r="G13" s="178" t="str">
        <f>収支予算書!G21&amp;""</f>
        <v/>
      </c>
      <c r="H13" s="179" t="str">
        <f>収支予算書!H21&amp;""</f>
        <v/>
      </c>
      <c r="I13" s="180" t="str">
        <f>収支予算書!I21&amp;""</f>
        <v/>
      </c>
      <c r="J13" s="181" t="str">
        <f t="shared" si="0"/>
        <v/>
      </c>
      <c r="K13" s="179" t="str">
        <f>IF(変更申請入力フォーム!B48="", IF(J13&lt;&gt;"",0,""), 変更申請入力フォーム!B48)</f>
        <v/>
      </c>
      <c r="L13" s="180" t="str">
        <f>IF(変更申請入力フォーム!B49="", IF(J13&lt;&gt;"",0,""),変更申請入力フォーム!B49)</f>
        <v/>
      </c>
      <c r="M13" s="181" t="str">
        <f t="shared" si="1"/>
        <v/>
      </c>
      <c r="N13" s="243" t="str">
        <f t="shared" si="2"/>
        <v/>
      </c>
      <c r="O13" s="240" t="str">
        <f>変更申請入力フォーム!B50&amp;""</f>
        <v/>
      </c>
    </row>
    <row r="14" spans="1:15" ht="18" customHeight="1" x14ac:dyDescent="0.45">
      <c r="B14" s="167"/>
      <c r="G14" s="178" t="str">
        <f>収支予算書!G22&amp;""</f>
        <v/>
      </c>
      <c r="H14" s="179" t="str">
        <f>収支予算書!H22&amp;""</f>
        <v/>
      </c>
      <c r="I14" s="180" t="str">
        <f>収支予算書!I22&amp;""</f>
        <v/>
      </c>
      <c r="J14" s="181" t="str">
        <f t="shared" si="0"/>
        <v/>
      </c>
      <c r="K14" s="179" t="str">
        <f>IF(変更申請入力フォーム!B52="", IF(J14&lt;&gt;"",0,""), 変更申請入力フォーム!B52)</f>
        <v/>
      </c>
      <c r="L14" s="180" t="str">
        <f>IF(変更申請入力フォーム!B53="", IF(J14&lt;&gt;"",0,""),変更申請入力フォーム!B53)</f>
        <v/>
      </c>
      <c r="M14" s="181" t="str">
        <f t="shared" si="1"/>
        <v/>
      </c>
      <c r="N14" s="230" t="str">
        <f t="shared" si="2"/>
        <v/>
      </c>
      <c r="O14" s="240" t="str">
        <f>変更申請入力フォーム!B54&amp;""</f>
        <v/>
      </c>
    </row>
    <row r="15" spans="1:15" ht="18" customHeight="1" x14ac:dyDescent="0.45">
      <c r="B15" s="167"/>
      <c r="G15" s="178" t="str">
        <f>収支予算書!G23&amp;""</f>
        <v/>
      </c>
      <c r="H15" s="179" t="str">
        <f>収支予算書!H23&amp;""</f>
        <v/>
      </c>
      <c r="I15" s="180" t="str">
        <f>収支予算書!I23&amp;""</f>
        <v/>
      </c>
      <c r="J15" s="181" t="str">
        <f t="shared" si="0"/>
        <v/>
      </c>
      <c r="K15" s="179" t="str">
        <f>IF(変更申請入力フォーム!B56="", IF(J15&lt;&gt;"",0,""), 変更申請入力フォーム!B56)</f>
        <v/>
      </c>
      <c r="L15" s="180" t="str">
        <f>IF(変更申請入力フォーム!B57="", IF(J15&lt;&gt;"",0,""),変更申請入力フォーム!B57)</f>
        <v/>
      </c>
      <c r="M15" s="181" t="str">
        <f t="shared" si="1"/>
        <v/>
      </c>
      <c r="N15" s="230" t="str">
        <f t="shared" si="2"/>
        <v/>
      </c>
      <c r="O15" s="240" t="str">
        <f>変更申請入力フォーム!B58&amp;""</f>
        <v/>
      </c>
    </row>
    <row r="16" spans="1:15" ht="18" customHeight="1" x14ac:dyDescent="0.45">
      <c r="B16" s="167"/>
      <c r="G16" s="168" t="str">
        <f>収支予算書!G24&amp;""</f>
        <v/>
      </c>
      <c r="H16" s="179" t="str">
        <f>収支予算書!H24&amp;""</f>
        <v/>
      </c>
      <c r="I16" s="180" t="str">
        <f>収支予算書!I24&amp;""</f>
        <v/>
      </c>
      <c r="J16" s="181" t="str">
        <f t="shared" si="0"/>
        <v/>
      </c>
      <c r="K16" s="211" t="str">
        <f>IF(変更申請入力フォーム!B60="", IF(J16&lt;&gt;"",0,""), 変更申請入力フォーム!B60)</f>
        <v/>
      </c>
      <c r="L16" s="231" t="str">
        <f>IF(変更申請入力フォーム!B61="", IF(J16&lt;&gt;"",0,""),変更申請入力フォーム!B61)</f>
        <v/>
      </c>
      <c r="M16" s="232" t="str">
        <f t="shared" si="1"/>
        <v/>
      </c>
      <c r="N16" s="230" t="str">
        <f t="shared" si="2"/>
        <v/>
      </c>
      <c r="O16" s="241" t="str">
        <f>変更申請入力フォーム!B62&amp;""</f>
        <v/>
      </c>
    </row>
    <row r="17" spans="2:15" ht="18" customHeight="1" x14ac:dyDescent="0.45">
      <c r="B17" s="167"/>
      <c r="D17" s="552" t="s">
        <v>197</v>
      </c>
      <c r="E17" s="552"/>
      <c r="F17" s="552"/>
      <c r="G17" s="177" t="str">
        <f>収支予算書!G25&amp;""</f>
        <v>チラシ作成用プリンター</v>
      </c>
      <c r="H17" s="212" t="str">
        <f>収支予算書!H25&amp;""</f>
        <v>40,000</v>
      </c>
      <c r="I17" s="213" t="str">
        <f>収支予算書!I25&amp;""</f>
        <v>1</v>
      </c>
      <c r="J17" s="214">
        <f t="shared" si="0"/>
        <v>40000</v>
      </c>
      <c r="K17" s="182">
        <f>IF(変更申請入力フォーム!B82="",IF(J17&lt;&gt;"",0,""),変更申請入力フォーム!B82)</f>
        <v>0</v>
      </c>
      <c r="L17" s="183">
        <f>IF(変更申請入力フォーム!B83="",IF(J17&lt;&gt;"",0,""),変更申請入力フォーム!B83)</f>
        <v>0</v>
      </c>
      <c r="M17" s="184">
        <f t="shared" si="1"/>
        <v>0</v>
      </c>
      <c r="N17" s="243">
        <f t="shared" si="2"/>
        <v>-40000</v>
      </c>
      <c r="O17" s="240" t="str">
        <f>変更申請入力フォーム!B84&amp;""</f>
        <v/>
      </c>
    </row>
    <row r="18" spans="2:15" ht="18" customHeight="1" x14ac:dyDescent="0.45">
      <c r="B18" s="167"/>
      <c r="G18" s="185" t="str">
        <f>収支予算書!G26&amp;""</f>
        <v>講座資料投影用プロジェクター</v>
      </c>
      <c r="H18" s="215" t="str">
        <f>収支予算書!H26&amp;""</f>
        <v>45,000</v>
      </c>
      <c r="I18" s="216" t="str">
        <f>収支予算書!I26&amp;""</f>
        <v>1</v>
      </c>
      <c r="J18" s="217">
        <f t="shared" si="0"/>
        <v>45000</v>
      </c>
      <c r="K18" s="211">
        <f>IF(変更申請入力フォーム!B86="",IF(J18&lt;&gt;"",0,""),変更申請入力フォーム!B86)</f>
        <v>0</v>
      </c>
      <c r="L18" s="231">
        <f>IF(変更申請入力フォーム!B87="",IF(J18&lt;&gt;"",0,""),変更申請入力フォーム!B87)</f>
        <v>0</v>
      </c>
      <c r="M18" s="181">
        <f t="shared" si="1"/>
        <v>0</v>
      </c>
      <c r="N18" s="230">
        <f t="shared" si="2"/>
        <v>-45000</v>
      </c>
      <c r="O18" s="185" t="str">
        <f>変更申請入力フォーム!B88&amp;""</f>
        <v/>
      </c>
    </row>
    <row r="19" spans="2:15" ht="18" customHeight="1" x14ac:dyDescent="0.45">
      <c r="B19" s="167"/>
      <c r="G19" s="185" t="str">
        <f>収支予算書!G27&amp;""</f>
        <v>講座資料投影用ノートパソコン</v>
      </c>
      <c r="H19" s="218" t="str">
        <f>収支予算書!H27&amp;""</f>
        <v>100,000</v>
      </c>
      <c r="I19" s="216" t="str">
        <f>収支予算書!I27&amp;""</f>
        <v>1</v>
      </c>
      <c r="J19" s="217">
        <f t="shared" si="0"/>
        <v>100000</v>
      </c>
      <c r="K19" s="211">
        <f>IF(変更申請入力フォーム!B90="",IF(J19&lt;&gt;"",0,""),変更申請入力フォーム!B90)</f>
        <v>0</v>
      </c>
      <c r="L19" s="231">
        <f>IF(変更申請入力フォーム!B91="",IF(J19&lt;&gt;"",0,""),変更申請入力フォーム!B91)</f>
        <v>0</v>
      </c>
      <c r="M19" s="181">
        <f t="shared" si="1"/>
        <v>0</v>
      </c>
      <c r="N19" s="230">
        <f t="shared" si="2"/>
        <v>-100000</v>
      </c>
      <c r="O19" s="185" t="str">
        <f>変更申請入力フォーム!B92&amp;""</f>
        <v/>
      </c>
    </row>
    <row r="20" spans="2:15" ht="18" customHeight="1" x14ac:dyDescent="0.45">
      <c r="B20" s="167"/>
      <c r="G20" s="185" t="str">
        <f>収支予算書!G28&amp;""</f>
        <v/>
      </c>
      <c r="H20" s="218" t="str">
        <f>収支予算書!H28&amp;""</f>
        <v/>
      </c>
      <c r="I20" s="216" t="str">
        <f>収支予算書!I28&amp;""</f>
        <v/>
      </c>
      <c r="J20" s="217" t="str">
        <f t="shared" si="0"/>
        <v/>
      </c>
      <c r="K20" s="211" t="str">
        <f>IF(変更申請入力フォーム!B94="",IF(J20&lt;&gt;"",0,""),変更申請入力フォーム!B94)</f>
        <v/>
      </c>
      <c r="L20" s="231" t="str">
        <f>IF(変更申請入力フォーム!B95="",IF(J20&lt;&gt;"",0,""),変更申請入力フォーム!B95)</f>
        <v/>
      </c>
      <c r="M20" s="181" t="str">
        <f t="shared" si="1"/>
        <v/>
      </c>
      <c r="N20" s="230" t="str">
        <f>IFERROR(M20-J20,"")</f>
        <v/>
      </c>
      <c r="O20" s="185" t="str">
        <f>変更申請入力フォーム!B96&amp;""</f>
        <v/>
      </c>
    </row>
    <row r="21" spans="2:15" ht="18" customHeight="1" x14ac:dyDescent="0.45">
      <c r="B21" s="167"/>
      <c r="G21" s="185" t="str">
        <f>収支予算書!G29&amp;""</f>
        <v/>
      </c>
      <c r="H21" s="218" t="str">
        <f>収支予算書!H29&amp;""</f>
        <v/>
      </c>
      <c r="I21" s="216" t="str">
        <f>収支予算書!I29&amp;""</f>
        <v/>
      </c>
      <c r="J21" s="217" t="str">
        <f t="shared" si="0"/>
        <v/>
      </c>
      <c r="K21" s="211" t="str">
        <f>IF(変更申請入力フォーム!B98="",IF(J21&lt;&gt;"",0,""),変更申請入力フォーム!B98)</f>
        <v/>
      </c>
      <c r="L21" s="231" t="str">
        <f>IF(変更申請入力フォーム!B99="",IF(J21&lt;&gt;"",0,""),変更申請入力フォーム!B99)</f>
        <v/>
      </c>
      <c r="M21" s="181" t="str">
        <f t="shared" si="1"/>
        <v/>
      </c>
      <c r="N21" s="230" t="str">
        <f t="shared" si="2"/>
        <v/>
      </c>
      <c r="O21" s="185" t="str">
        <f>変更申請入力フォーム!B100&amp;""</f>
        <v/>
      </c>
    </row>
    <row r="22" spans="2:15" ht="18" customHeight="1" x14ac:dyDescent="0.45">
      <c r="B22" s="167"/>
      <c r="G22" s="185" t="str">
        <f>収支予算書!G30&amp;""</f>
        <v/>
      </c>
      <c r="H22" s="218" t="str">
        <f>収支予算書!H30&amp;""</f>
        <v/>
      </c>
      <c r="I22" s="219" t="str">
        <f>収支予算書!I30&amp;""</f>
        <v/>
      </c>
      <c r="J22" s="220" t="str">
        <f t="shared" si="0"/>
        <v/>
      </c>
      <c r="K22" s="179" t="str">
        <f>IF(変更申請入力フォーム!B102="",IF(J22&lt;&gt;"",0,""),変更申請入力フォーム!B102)</f>
        <v/>
      </c>
      <c r="L22" s="180" t="str">
        <f>IF(変更申請入力フォーム!B103="",IF(J22&lt;&gt;"",0,""),変更申請入力フォーム!B103)</f>
        <v/>
      </c>
      <c r="M22" s="181" t="str">
        <f t="shared" si="1"/>
        <v/>
      </c>
      <c r="N22" s="230" t="str">
        <f t="shared" si="2"/>
        <v/>
      </c>
      <c r="O22" s="185" t="str">
        <f>変更申請入力フォーム!B104&amp;""</f>
        <v/>
      </c>
    </row>
    <row r="23" spans="2:15" ht="18" customHeight="1" x14ac:dyDescent="0.45">
      <c r="B23" s="167"/>
      <c r="G23" s="185" t="str">
        <f>収支予算書!G31&amp;""</f>
        <v/>
      </c>
      <c r="H23" s="218" t="str">
        <f>収支予算書!H31&amp;""</f>
        <v/>
      </c>
      <c r="I23" s="219" t="str">
        <f>収支予算書!I31&amp;""</f>
        <v/>
      </c>
      <c r="J23" s="220" t="str">
        <f t="shared" si="0"/>
        <v/>
      </c>
      <c r="K23" s="179" t="str">
        <f>IF(変更申請入力フォーム!B106="",IF(J23&lt;&gt;"",0,""),変更申請入力フォーム!B106)</f>
        <v/>
      </c>
      <c r="L23" s="180" t="str">
        <f>IF(変更申請入力フォーム!B107="",IF(J23&lt;&gt;"",0,""),変更申請入力フォーム!B107)</f>
        <v/>
      </c>
      <c r="M23" s="181" t="str">
        <f t="shared" si="1"/>
        <v/>
      </c>
      <c r="N23" s="230" t="str">
        <f t="shared" si="2"/>
        <v/>
      </c>
      <c r="O23" s="185" t="str">
        <f>変更申請入力フォーム!B108&amp;""</f>
        <v/>
      </c>
    </row>
    <row r="24" spans="2:15" ht="18" customHeight="1" x14ac:dyDescent="0.45">
      <c r="B24" s="167"/>
      <c r="G24" s="185" t="str">
        <f>収支予算書!G32&amp;""</f>
        <v/>
      </c>
      <c r="H24" s="218" t="str">
        <f>収支予算書!H32&amp;""</f>
        <v/>
      </c>
      <c r="I24" s="219" t="str">
        <f>収支予算書!I32&amp;""</f>
        <v/>
      </c>
      <c r="J24" s="220" t="str">
        <f t="shared" si="0"/>
        <v/>
      </c>
      <c r="K24" s="179" t="str">
        <f>IF(変更申請入力フォーム!B110="",IF(J24&lt;&gt;"",0,""),変更申請入力フォーム!B110)</f>
        <v/>
      </c>
      <c r="L24" s="180" t="str">
        <f>IF(変更申請入力フォーム!B111="",IF(J24&lt;&gt;"",0,""),変更申請入力フォーム!B111)</f>
        <v/>
      </c>
      <c r="M24" s="181" t="str">
        <f t="shared" si="1"/>
        <v/>
      </c>
      <c r="N24" s="230" t="str">
        <f t="shared" si="2"/>
        <v/>
      </c>
      <c r="O24" s="185" t="str">
        <f>変更申請入力フォーム!B112&amp;""</f>
        <v/>
      </c>
    </row>
    <row r="25" spans="2:15" ht="18" customHeight="1" x14ac:dyDescent="0.45">
      <c r="B25" s="167"/>
      <c r="G25" s="185" t="str">
        <f>収支予算書!G33&amp;""</f>
        <v/>
      </c>
      <c r="H25" s="215" t="str">
        <f>収支予算書!H33&amp;""</f>
        <v/>
      </c>
      <c r="I25" s="219" t="str">
        <f>収支予算書!I33&amp;""</f>
        <v/>
      </c>
      <c r="J25" s="220" t="str">
        <f t="shared" si="0"/>
        <v/>
      </c>
      <c r="K25" s="179" t="str">
        <f>IF(変更申請入力フォーム!B114="",IF(J25&lt;&gt;"",0,""),変更申請入力フォーム!B114)</f>
        <v/>
      </c>
      <c r="L25" s="180" t="str">
        <f>IF(変更申請入力フォーム!B115="",IF(J25&lt;&gt;"",0,""),変更申請入力フォーム!B115)</f>
        <v/>
      </c>
      <c r="M25" s="181" t="str">
        <f t="shared" si="1"/>
        <v/>
      </c>
      <c r="N25" s="230" t="str">
        <f t="shared" si="2"/>
        <v/>
      </c>
      <c r="O25" s="185" t="str">
        <f>変更申請入力フォーム!B116&amp;""</f>
        <v/>
      </c>
    </row>
    <row r="26" spans="2:15" ht="18" customHeight="1" x14ac:dyDescent="0.45">
      <c r="B26" s="167"/>
      <c r="G26" s="185" t="str">
        <f>収支予算書!G34&amp;""</f>
        <v/>
      </c>
      <c r="H26" s="221" t="str">
        <f>収支予算書!H34&amp;""</f>
        <v/>
      </c>
      <c r="I26" s="219" t="str">
        <f>収支予算書!I34&amp;""</f>
        <v/>
      </c>
      <c r="J26" s="220" t="str">
        <f t="shared" si="0"/>
        <v/>
      </c>
      <c r="K26" s="179" t="str">
        <f>IF(変更申請入力フォーム!B118="",IF(J26&lt;&gt;"",0,""),変更申請入力フォーム!B118)</f>
        <v/>
      </c>
      <c r="L26" s="180" t="str">
        <f>IF(変更申請入力フォーム!B119="",IF(J26&lt;&gt;"",0,""),変更申請入力フォーム!B119)</f>
        <v/>
      </c>
      <c r="M26" s="181" t="str">
        <f t="shared" si="1"/>
        <v/>
      </c>
      <c r="N26" s="230" t="str">
        <f t="shared" si="2"/>
        <v/>
      </c>
      <c r="O26" s="185" t="str">
        <f>変更申請入力フォーム!B120&amp;""</f>
        <v/>
      </c>
    </row>
    <row r="27" spans="2:15" ht="18" customHeight="1" x14ac:dyDescent="0.45">
      <c r="B27" s="167"/>
      <c r="G27" s="185" t="str">
        <f>収支予算書!G35&amp;""</f>
        <v/>
      </c>
      <c r="H27" s="191" t="str">
        <f>収支予算書!H35&amp;""</f>
        <v/>
      </c>
      <c r="I27" s="222" t="str">
        <f>収支予算書!I35&amp;""</f>
        <v/>
      </c>
      <c r="J27" s="217" t="str">
        <f t="shared" si="0"/>
        <v/>
      </c>
      <c r="K27" s="179" t="str">
        <f>IF(変更申請入力フォーム!B122="",IF(J27&lt;&gt;"",0,""),変更申請入力フォーム!B122)</f>
        <v/>
      </c>
      <c r="L27" s="180" t="str">
        <f>IF(変更申請入力フォーム!B123="",IF(J27&lt;&gt;"",0,""),変更申請入力フォーム!B123)</f>
        <v/>
      </c>
      <c r="M27" s="181" t="str">
        <f t="shared" si="1"/>
        <v/>
      </c>
      <c r="N27" s="230" t="str">
        <f t="shared" si="2"/>
        <v/>
      </c>
      <c r="O27" s="185" t="str">
        <f>変更申請入力フォーム!B124&amp;""</f>
        <v/>
      </c>
    </row>
    <row r="28" spans="2:15" ht="18" customHeight="1" x14ac:dyDescent="0.45">
      <c r="B28" s="167"/>
      <c r="G28" s="185" t="str">
        <f>収支予算書!G36&amp;""</f>
        <v/>
      </c>
      <c r="H28" s="191" t="str">
        <f>収支予算書!H36&amp;""</f>
        <v/>
      </c>
      <c r="I28" s="223" t="str">
        <f>収支予算書!I36&amp;""</f>
        <v/>
      </c>
      <c r="J28" s="217" t="str">
        <f t="shared" si="0"/>
        <v/>
      </c>
      <c r="K28" s="211" t="str">
        <f>IF(変更申請入力フォーム!B126="",IF(J28&lt;&gt;"",0,""),変更申請入力フォーム!B126)</f>
        <v/>
      </c>
      <c r="L28" s="231" t="str">
        <f>IF(変更申請入力フォーム!B127="",IF(J28&lt;&gt;"",0,""),変更申請入力フォーム!B127)</f>
        <v/>
      </c>
      <c r="M28" s="181" t="str">
        <f t="shared" si="1"/>
        <v/>
      </c>
      <c r="N28" s="230" t="str">
        <f t="shared" si="2"/>
        <v/>
      </c>
      <c r="O28" s="185" t="str">
        <f>変更申請入力フォーム!B128&amp;""</f>
        <v/>
      </c>
    </row>
    <row r="29" spans="2:15" ht="18" customHeight="1" x14ac:dyDescent="0.45">
      <c r="B29" s="167"/>
      <c r="G29" s="185" t="str">
        <f>収支予算書!G37&amp;""</f>
        <v/>
      </c>
      <c r="H29" s="191" t="str">
        <f>収支予算書!H37&amp;""</f>
        <v/>
      </c>
      <c r="I29" s="223" t="str">
        <f>収支予算書!I37&amp;""</f>
        <v/>
      </c>
      <c r="J29" s="217" t="str">
        <f t="shared" si="0"/>
        <v/>
      </c>
      <c r="K29" s="211" t="str">
        <f>IF(変更申請入力フォーム!B130="",IF(J29&lt;&gt;"",0,""),変更申請入力フォーム!B130)</f>
        <v/>
      </c>
      <c r="L29" s="231" t="str">
        <f>IF(変更申請入力フォーム!B131="",IF(J29&lt;&gt;"",0,""),変更申請入力フォーム!B131)</f>
        <v/>
      </c>
      <c r="M29" s="181" t="str">
        <f t="shared" si="1"/>
        <v/>
      </c>
      <c r="N29" s="230" t="str">
        <f t="shared" si="2"/>
        <v/>
      </c>
      <c r="O29" s="185" t="str">
        <f>変更申請入力フォーム!B132&amp;""</f>
        <v/>
      </c>
    </row>
    <row r="30" spans="2:15" ht="18" customHeight="1" x14ac:dyDescent="0.45">
      <c r="B30" s="167"/>
      <c r="G30" s="185" t="str">
        <f>収支予算書!G38&amp;""</f>
        <v/>
      </c>
      <c r="H30" s="224" t="str">
        <f>収支予算書!H38&amp;""</f>
        <v/>
      </c>
      <c r="I30" s="223" t="str">
        <f>収支予算書!I38&amp;""</f>
        <v/>
      </c>
      <c r="J30" s="220" t="str">
        <f t="shared" si="0"/>
        <v/>
      </c>
      <c r="K30" s="179" t="str">
        <f>IF(変更申請入力フォーム!B134="",IF(J30&lt;&gt;"",0,""),変更申請入力フォーム!B134)</f>
        <v/>
      </c>
      <c r="L30" s="180" t="str">
        <f>IF(変更申請入力フォーム!B135="",IF(J30&lt;&gt;"",0,""),変更申請入力フォーム!B135)</f>
        <v/>
      </c>
      <c r="M30" s="181" t="str">
        <f t="shared" si="1"/>
        <v/>
      </c>
      <c r="N30" s="230" t="str">
        <f t="shared" si="2"/>
        <v/>
      </c>
      <c r="O30" s="185" t="str">
        <f>変更申請入力フォーム!B136&amp;""</f>
        <v/>
      </c>
    </row>
    <row r="31" spans="2:15" ht="18" customHeight="1" x14ac:dyDescent="0.45">
      <c r="B31" s="167"/>
      <c r="G31" s="185" t="str">
        <f>収支予算書!G39&amp;""</f>
        <v/>
      </c>
      <c r="H31" s="225" t="str">
        <f>収支予算書!H39&amp;""</f>
        <v/>
      </c>
      <c r="I31" s="223" t="str">
        <f>収支予算書!I39&amp;""</f>
        <v/>
      </c>
      <c r="J31" s="220" t="str">
        <f t="shared" si="0"/>
        <v/>
      </c>
      <c r="K31" s="179" t="str">
        <f>IF(変更申請入力フォーム!B138="",IF(J31&lt;&gt;"",0,""),変更申請入力フォーム!B138)</f>
        <v/>
      </c>
      <c r="L31" s="180" t="str">
        <f>IF(変更申請入力フォーム!B139="",IF(J31&lt;&gt;"",0,""),変更申請入力フォーム!B139)</f>
        <v/>
      </c>
      <c r="M31" s="181" t="str">
        <f t="shared" si="1"/>
        <v/>
      </c>
      <c r="N31" s="230" t="str">
        <f t="shared" si="2"/>
        <v/>
      </c>
      <c r="O31" s="185" t="str">
        <f>変更申請入力フォーム!B140&amp;""</f>
        <v/>
      </c>
    </row>
    <row r="32" spans="2:15" ht="18" customHeight="1" x14ac:dyDescent="0.45">
      <c r="B32" s="167"/>
      <c r="G32" s="185" t="str">
        <f>収支予算書!G40&amp;""</f>
        <v/>
      </c>
      <c r="H32" s="225" t="str">
        <f>収支予算書!H40&amp;""</f>
        <v/>
      </c>
      <c r="I32" s="223" t="str">
        <f>収支予算書!I40&amp;""</f>
        <v/>
      </c>
      <c r="J32" s="220" t="str">
        <f t="shared" si="0"/>
        <v/>
      </c>
      <c r="K32" s="179" t="str">
        <f>IF(変更申請入力フォーム!B142="",IF(J32&lt;&gt;"",0,""),変更申請入力フォーム!B142)</f>
        <v/>
      </c>
      <c r="L32" s="180" t="str">
        <f>IF(変更申請入力フォーム!B143="",IF(J32&lt;&gt;"",0,""),変更申請入力フォーム!B143)</f>
        <v/>
      </c>
      <c r="M32" s="181" t="str">
        <f t="shared" si="1"/>
        <v/>
      </c>
      <c r="N32" s="230" t="str">
        <f t="shared" si="2"/>
        <v/>
      </c>
      <c r="O32" s="185" t="str">
        <f>変更申請入力フォーム!B144&amp;""</f>
        <v/>
      </c>
    </row>
    <row r="33" spans="2:15" ht="18" customHeight="1" x14ac:dyDescent="0.45">
      <c r="B33" s="167"/>
      <c r="G33" s="186" t="str">
        <f>収支予算書!G41&amp;""</f>
        <v/>
      </c>
      <c r="H33" s="194" t="str">
        <f>収支予算書!H41&amp;""</f>
        <v/>
      </c>
      <c r="I33" s="226" t="str">
        <f>収支予算書!I41&amp;""</f>
        <v/>
      </c>
      <c r="J33" s="187" t="str">
        <f t="shared" si="0"/>
        <v/>
      </c>
      <c r="K33" s="233" t="str">
        <f>IF(変更申請入力フォーム!B146="",IF(J33&lt;&gt;"",0,""),変更申請入力フォーム!B146)</f>
        <v/>
      </c>
      <c r="L33" s="234" t="str">
        <f>IF(変更申請入力フォーム!B147="",IF(J33&lt;&gt;"",0,""),変更申請入力フォーム!B147)</f>
        <v/>
      </c>
      <c r="M33" s="187" t="str">
        <f t="shared" si="1"/>
        <v/>
      </c>
      <c r="N33" s="230" t="str">
        <f t="shared" si="2"/>
        <v/>
      </c>
      <c r="O33" s="186" t="str">
        <f>変更申請入力フォーム!B148&amp;""</f>
        <v/>
      </c>
    </row>
    <row r="34" spans="2:15" ht="18" customHeight="1" x14ac:dyDescent="0.45">
      <c r="B34" s="167"/>
      <c r="D34" s="552" t="s">
        <v>198</v>
      </c>
      <c r="E34" s="552"/>
      <c r="F34" s="552"/>
      <c r="G34" s="168" t="str">
        <f>収支予算書!G42&amp;""</f>
        <v/>
      </c>
      <c r="H34" s="179" t="str">
        <f>収支予算書!H42&amp;""</f>
        <v/>
      </c>
      <c r="I34" s="231" t="str">
        <f>収支予算書!I42&amp;""</f>
        <v/>
      </c>
      <c r="J34" s="192" t="str">
        <f t="shared" si="0"/>
        <v/>
      </c>
      <c r="K34" s="211" t="str">
        <f>IF(変更申請入力フォーム!B155="",IF(J34&lt;&gt;"",0,""),変更申請入力フォーム!B155)</f>
        <v/>
      </c>
      <c r="L34" s="231" t="str">
        <f>IF(変更申請入力フォーム!B156="",IF(J34&lt;&gt;"",0,""),変更申請入力フォーム!B156)</f>
        <v/>
      </c>
      <c r="M34" s="181" t="str">
        <f t="shared" si="1"/>
        <v/>
      </c>
      <c r="N34" s="243" t="str">
        <f t="shared" si="2"/>
        <v/>
      </c>
      <c r="O34" s="239" t="str">
        <f>変更申請入力フォーム!B157&amp;""</f>
        <v/>
      </c>
    </row>
    <row r="35" spans="2:15" ht="18" customHeight="1" x14ac:dyDescent="0.45">
      <c r="B35" s="167"/>
      <c r="G35" s="168" t="str">
        <f>収支予算書!G43&amp;""</f>
        <v/>
      </c>
      <c r="H35" s="179" t="str">
        <f>収支予算書!H43&amp;""</f>
        <v/>
      </c>
      <c r="I35" s="231" t="str">
        <f>収支予算書!I43&amp;""</f>
        <v/>
      </c>
      <c r="J35" s="236" t="str">
        <f t="shared" si="0"/>
        <v/>
      </c>
      <c r="K35" s="211" t="str">
        <f>IF(変更申請入力フォーム!B159="",IF(J35&lt;&gt;"",0,""),変更申請入力フォーム!B159)</f>
        <v/>
      </c>
      <c r="L35" s="231" t="str">
        <f>IF(変更申請入力フォーム!B160="",IF(J35&lt;&gt;"",0,""),変更申請入力フォーム!B160)</f>
        <v/>
      </c>
      <c r="M35" s="181" t="str">
        <f t="shared" si="1"/>
        <v/>
      </c>
      <c r="N35" s="230" t="str">
        <f t="shared" si="2"/>
        <v/>
      </c>
      <c r="O35" s="240" t="str">
        <f>変更申請入力フォーム!B161&amp;""</f>
        <v/>
      </c>
    </row>
    <row r="36" spans="2:15" ht="18" customHeight="1" x14ac:dyDescent="0.45">
      <c r="B36" s="167"/>
      <c r="G36" s="168" t="str">
        <f>収支予算書!G44&amp;""</f>
        <v/>
      </c>
      <c r="H36" s="179" t="str">
        <f>収支予算書!H44&amp;""</f>
        <v/>
      </c>
      <c r="I36" s="231" t="str">
        <f>収支予算書!I44&amp;""</f>
        <v/>
      </c>
      <c r="J36" s="236" t="str">
        <f t="shared" si="0"/>
        <v/>
      </c>
      <c r="K36" s="211" t="str">
        <f>IF(変更申請入力フォーム!B163="",IF(J36&lt;&gt;"",0,""),変更申請入力フォーム!B163)</f>
        <v/>
      </c>
      <c r="L36" s="231" t="str">
        <f>IF(変更申請入力フォーム!B164="",IF(J36&lt;&gt;"",0,""),変更申請入力フォーム!B164)</f>
        <v/>
      </c>
      <c r="M36" s="181" t="str">
        <f t="shared" si="1"/>
        <v/>
      </c>
      <c r="N36" s="230" t="str">
        <f t="shared" si="2"/>
        <v/>
      </c>
      <c r="O36" s="240" t="str">
        <f>変更申請入力フォーム!B165&amp;""</f>
        <v/>
      </c>
    </row>
    <row r="37" spans="2:15" ht="18" customHeight="1" x14ac:dyDescent="0.45">
      <c r="B37" s="167"/>
      <c r="G37" s="168" t="str">
        <f>収支予算書!G45&amp;""</f>
        <v/>
      </c>
      <c r="H37" s="179" t="str">
        <f>収支予算書!H45&amp;""</f>
        <v/>
      </c>
      <c r="I37" s="180" t="str">
        <f>収支予算書!I45&amp;""</f>
        <v/>
      </c>
      <c r="J37" s="236" t="str">
        <f t="shared" si="0"/>
        <v/>
      </c>
      <c r="K37" s="211" t="str">
        <f>IF(変更申請入力フォーム!B167="",IF(J37&lt;&gt;"",0,""),変更申請入力フォーム!B167)</f>
        <v/>
      </c>
      <c r="L37" s="234" t="str">
        <f>IF(変更申請入力フォーム!B168="",IF(J37&lt;&gt;"",0,""),変更申請入力フォーム!B168)</f>
        <v/>
      </c>
      <c r="M37" s="181" t="str">
        <f t="shared" si="1"/>
        <v/>
      </c>
      <c r="N37" s="230" t="str">
        <f t="shared" si="2"/>
        <v/>
      </c>
      <c r="O37" s="186" t="str">
        <f>変更申請入力フォーム!B169&amp;""</f>
        <v/>
      </c>
    </row>
    <row r="38" spans="2:15" ht="18" customHeight="1" x14ac:dyDescent="0.45">
      <c r="B38" s="167"/>
      <c r="D38" s="552" t="s">
        <v>199</v>
      </c>
      <c r="E38" s="552"/>
      <c r="F38" s="552"/>
      <c r="G38" s="188" t="str">
        <f>収支予算書!G46&amp;""</f>
        <v/>
      </c>
      <c r="H38" s="182" t="str">
        <f>収支予算書!H46&amp;""</f>
        <v/>
      </c>
      <c r="I38" s="183" t="str">
        <f>収支予算書!I46&amp;""</f>
        <v/>
      </c>
      <c r="J38" s="189" t="str">
        <f t="shared" si="0"/>
        <v/>
      </c>
      <c r="K38" s="182" t="str">
        <f>IF(変更申請入力フォーム!B176="",IF(J38&lt;&gt;"",0,""),変更申請入力フォーム!B176)</f>
        <v/>
      </c>
      <c r="L38" s="183" t="str">
        <f>IF(変更申請入力フォーム!B177="",IF(J38&lt;&gt;"",0,""),変更申請入力フォーム!B177)</f>
        <v/>
      </c>
      <c r="M38" s="190" t="str">
        <f t="shared" si="1"/>
        <v/>
      </c>
      <c r="N38" s="243" t="str">
        <f t="shared" si="2"/>
        <v/>
      </c>
      <c r="O38" s="240" t="str">
        <f>変更申請入力フォーム!B178&amp;""</f>
        <v/>
      </c>
    </row>
    <row r="39" spans="2:15" ht="18" customHeight="1" x14ac:dyDescent="0.45">
      <c r="B39" s="167"/>
      <c r="G39" s="178" t="str">
        <f>収支予算書!G47&amp;""</f>
        <v/>
      </c>
      <c r="H39" s="179" t="str">
        <f>収支予算書!H47&amp;""</f>
        <v/>
      </c>
      <c r="I39" s="180" t="str">
        <f>収支予算書!I47&amp;""</f>
        <v/>
      </c>
      <c r="J39" s="191" t="str">
        <f t="shared" si="0"/>
        <v/>
      </c>
      <c r="K39" s="179" t="str">
        <f>IF(変更申請入力フォーム!B180="",IF(J39&lt;&gt;"",0,""),変更申請入力フォーム!B180)</f>
        <v/>
      </c>
      <c r="L39" s="180" t="str">
        <f>IF(変更申請入力フォーム!B181="",IF(J39&lt;&gt;"",0,""),変更申請入力フォーム!B181)</f>
        <v/>
      </c>
      <c r="M39" s="192" t="str">
        <f t="shared" si="1"/>
        <v/>
      </c>
      <c r="N39" s="230" t="str">
        <f t="shared" si="2"/>
        <v/>
      </c>
      <c r="O39" s="240" t="str">
        <f>変更申請入力フォーム!B182&amp;""</f>
        <v/>
      </c>
    </row>
    <row r="40" spans="2:15" ht="18" customHeight="1" x14ac:dyDescent="0.45">
      <c r="B40" s="167"/>
      <c r="G40" s="178" t="str">
        <f>収支予算書!G48&amp;""</f>
        <v/>
      </c>
      <c r="H40" s="179" t="str">
        <f>収支予算書!H48&amp;""</f>
        <v/>
      </c>
      <c r="I40" s="180" t="str">
        <f>収支予算書!I48&amp;""</f>
        <v/>
      </c>
      <c r="J40" s="191" t="str">
        <f t="shared" si="0"/>
        <v/>
      </c>
      <c r="K40" s="179" t="str">
        <f>IF(変更申請入力フォーム!B184="",IF(J40&lt;&gt;"",0,""),変更申請入力フォーム!B184)</f>
        <v/>
      </c>
      <c r="L40" s="180" t="str">
        <f>IF(変更申請入力フォーム!B185="",IF(J40&lt;&gt;"",0,""),変更申請入力フォーム!B185)</f>
        <v/>
      </c>
      <c r="M40" s="192" t="str">
        <f t="shared" si="1"/>
        <v/>
      </c>
      <c r="N40" s="230" t="str">
        <f t="shared" si="2"/>
        <v/>
      </c>
      <c r="O40" s="240" t="str">
        <f>変更申請入力フォーム!B186&amp;""</f>
        <v/>
      </c>
    </row>
    <row r="41" spans="2:15" ht="18" customHeight="1" x14ac:dyDescent="0.45">
      <c r="B41" s="167"/>
      <c r="G41" s="193" t="str">
        <f>収支予算書!G49&amp;""</f>
        <v/>
      </c>
      <c r="H41" s="194" t="str">
        <f>収支予算書!H49&amp;""</f>
        <v/>
      </c>
      <c r="I41" s="195" t="str">
        <f>収支予算書!I49&amp;""</f>
        <v/>
      </c>
      <c r="J41" s="196" t="str">
        <f t="shared" si="0"/>
        <v/>
      </c>
      <c r="K41" s="233" t="str">
        <f>IF(変更申請入力フォーム!B188="",IF(J41&lt;&gt;"",0,""),変更申請入力フォーム!B188)</f>
        <v/>
      </c>
      <c r="L41" s="234" t="str">
        <f>IF(変更申請入力フォーム!B189="",IF(J41&lt;&gt;"",0,""),変更申請入力フォーム!B189)</f>
        <v/>
      </c>
      <c r="M41" s="187" t="str">
        <f t="shared" si="1"/>
        <v/>
      </c>
      <c r="N41" s="230" t="str">
        <f t="shared" si="2"/>
        <v/>
      </c>
      <c r="O41" s="240" t="str">
        <f>変更申請入力フォーム!B190&amp;""</f>
        <v/>
      </c>
    </row>
    <row r="42" spans="2:15" ht="18" customHeight="1" x14ac:dyDescent="0.45">
      <c r="B42" s="167"/>
      <c r="D42" s="552" t="s">
        <v>200</v>
      </c>
      <c r="E42" s="552"/>
      <c r="F42" s="552"/>
      <c r="G42" s="178" t="str">
        <f>収支予算書!G50&amp;""</f>
        <v/>
      </c>
      <c r="H42" s="179" t="str">
        <f>収支予算書!H50&amp;""</f>
        <v/>
      </c>
      <c r="I42" s="180" t="str">
        <f>収支予算書!I50&amp;""</f>
        <v/>
      </c>
      <c r="J42" s="197" t="str">
        <f t="shared" si="0"/>
        <v/>
      </c>
      <c r="K42" s="211" t="str">
        <f>IF(変更申請入力フォーム!B197="",IF(J42&lt;&gt;"",0,""),変更申請入力フォーム!B197)</f>
        <v/>
      </c>
      <c r="L42" s="231" t="str">
        <f>IF(変更申請入力フォーム!B198="",IF(J42&lt;&gt;"",0,""),変更申請入力フォーム!B198)</f>
        <v/>
      </c>
      <c r="M42" s="181" t="str">
        <f t="shared" si="1"/>
        <v/>
      </c>
      <c r="N42" s="243" t="str">
        <f t="shared" si="2"/>
        <v/>
      </c>
      <c r="O42" s="239" t="str">
        <f>変更申請入力フォーム!B199&amp;""</f>
        <v/>
      </c>
    </row>
    <row r="43" spans="2:15" ht="18" customHeight="1" x14ac:dyDescent="0.45">
      <c r="B43" s="167"/>
      <c r="G43" s="178" t="str">
        <f>収支予算書!G51&amp;""</f>
        <v/>
      </c>
      <c r="H43" s="179" t="str">
        <f>収支予算書!H51&amp;""</f>
        <v/>
      </c>
      <c r="I43" s="180" t="str">
        <f>収支予算書!I51&amp;""</f>
        <v/>
      </c>
      <c r="J43" s="197" t="str">
        <f t="shared" si="0"/>
        <v/>
      </c>
      <c r="K43" s="211" t="str">
        <f>IF(変更申請入力フォーム!B201="",IF(J43&lt;&gt;"",0,""),変更申請入力フォーム!B201)</f>
        <v/>
      </c>
      <c r="L43" s="231" t="str">
        <f>IF(変更申請入力フォーム!B202="",IF(J43&lt;&gt;"",0,""),変更申請入力フォーム!B202)</f>
        <v/>
      </c>
      <c r="M43" s="181" t="str">
        <f t="shared" si="1"/>
        <v/>
      </c>
      <c r="N43" s="230" t="str">
        <f t="shared" si="2"/>
        <v/>
      </c>
      <c r="O43" s="240" t="str">
        <f>変更申請入力フォーム!B203&amp;""</f>
        <v/>
      </c>
    </row>
    <row r="44" spans="2:15" ht="18" customHeight="1" x14ac:dyDescent="0.45">
      <c r="B44" s="167"/>
      <c r="G44" s="178" t="str">
        <f>収支予算書!G52&amp;""</f>
        <v/>
      </c>
      <c r="H44" s="179" t="str">
        <f>収支予算書!H52&amp;""</f>
        <v/>
      </c>
      <c r="I44" s="180" t="str">
        <f>収支予算書!I52&amp;""</f>
        <v/>
      </c>
      <c r="J44" s="197" t="str">
        <f t="shared" si="0"/>
        <v/>
      </c>
      <c r="K44" s="211" t="str">
        <f>IF(変更申請入力フォーム!B205="",IF(J44&lt;&gt;"",0,""),変更申請入力フォーム!B205)</f>
        <v/>
      </c>
      <c r="L44" s="231" t="str">
        <f>IF(変更申請入力フォーム!B206="",IF(J44&lt;&gt;"",0,""),変更申請入力フォーム!B206)</f>
        <v/>
      </c>
      <c r="M44" s="181" t="str">
        <f t="shared" si="1"/>
        <v/>
      </c>
      <c r="N44" s="230" t="str">
        <f t="shared" si="2"/>
        <v/>
      </c>
      <c r="O44" s="240" t="str">
        <f>変更申請入力フォーム!B207&amp;""</f>
        <v/>
      </c>
    </row>
    <row r="45" spans="2:15" ht="18" customHeight="1" x14ac:dyDescent="0.45">
      <c r="B45" s="167"/>
      <c r="G45" s="178" t="str">
        <f>収支予算書!G53&amp;""</f>
        <v/>
      </c>
      <c r="H45" s="179" t="str">
        <f>収支予算書!H53&amp;""</f>
        <v/>
      </c>
      <c r="I45" s="180" t="str">
        <f>収支予算書!I53&amp;""</f>
        <v/>
      </c>
      <c r="J45" s="181" t="str">
        <f t="shared" si="0"/>
        <v/>
      </c>
      <c r="K45" s="211" t="str">
        <f>IF(変更申請入力フォーム!B209="",IF(J45&lt;&gt;"",0,""),変更申請入力フォーム!B209)</f>
        <v/>
      </c>
      <c r="L45" s="231" t="str">
        <f>IF(変更申請入力フォーム!B210="",IF(J45&lt;&gt;"",0,""),変更申請入力フォーム!B210)</f>
        <v/>
      </c>
      <c r="M45" s="181" t="str">
        <f t="shared" si="1"/>
        <v/>
      </c>
      <c r="N45" s="230" t="str">
        <f t="shared" si="2"/>
        <v/>
      </c>
      <c r="O45" s="240" t="str">
        <f>変更申請入力フォーム!B211&amp;""</f>
        <v/>
      </c>
    </row>
    <row r="46" spans="2:15" ht="18" customHeight="1" x14ac:dyDescent="0.45">
      <c r="B46" s="167"/>
      <c r="D46" s="550" t="s">
        <v>342</v>
      </c>
      <c r="E46" s="550"/>
      <c r="F46" s="551"/>
      <c r="G46" s="188" t="str">
        <f>収支予算書!G54&amp;""</f>
        <v>Wi-Fiルーター（講座当日利用分）</v>
      </c>
      <c r="H46" s="182" t="str">
        <f>収支予算書!H54&amp;""</f>
        <v>2,000</v>
      </c>
      <c r="I46" s="183" t="str">
        <f>収支予算書!I54&amp;""</f>
        <v>一式</v>
      </c>
      <c r="J46" s="184">
        <f t="shared" si="0"/>
        <v>2000</v>
      </c>
      <c r="K46" s="229">
        <f>IF(変更申請入力フォーム!B218="",IF(J46&lt;&gt;"",0,""),変更申請入力フォーム!B218)</f>
        <v>0</v>
      </c>
      <c r="L46" s="227">
        <f>IF(変更申請入力フォーム!B219="",IF(J46&lt;&gt;"",0,""),変更申請入力フォーム!B219)</f>
        <v>0</v>
      </c>
      <c r="M46" s="184">
        <f t="shared" si="1"/>
        <v>0</v>
      </c>
      <c r="N46" s="243">
        <f t="shared" si="2"/>
        <v>-2000</v>
      </c>
      <c r="O46" s="177" t="str">
        <f>変更申請入力フォーム!B220&amp;""</f>
        <v/>
      </c>
    </row>
    <row r="47" spans="2:15" ht="18" customHeight="1" x14ac:dyDescent="0.45">
      <c r="B47" s="167"/>
      <c r="D47" s="209"/>
      <c r="E47" s="209"/>
      <c r="F47" s="209"/>
      <c r="G47" s="178" t="str">
        <f>収支予算書!G55&amp;""</f>
        <v/>
      </c>
      <c r="H47" s="179" t="str">
        <f>収支予算書!H55&amp;""</f>
        <v/>
      </c>
      <c r="I47" s="180" t="str">
        <f>収支予算書!I55&amp;""</f>
        <v/>
      </c>
      <c r="J47" s="181" t="str">
        <f t="shared" si="0"/>
        <v/>
      </c>
      <c r="K47" s="211" t="str">
        <f>IF(変更申請入力フォーム!B222="",IF(J47&lt;&gt;"",0,""),変更申請入力フォーム!B222)</f>
        <v/>
      </c>
      <c r="L47" s="231" t="str">
        <f>IF(変更申請入力フォーム!B223="",IF(J47&lt;&gt;"",0,""),変更申請入力フォーム!B223)</f>
        <v/>
      </c>
      <c r="M47" s="181" t="str">
        <f t="shared" si="1"/>
        <v/>
      </c>
      <c r="N47" s="230" t="str">
        <f t="shared" si="2"/>
        <v/>
      </c>
      <c r="O47" s="240" t="str">
        <f>変更申請入力フォーム!B224&amp;""</f>
        <v/>
      </c>
    </row>
    <row r="48" spans="2:15" ht="18" customHeight="1" x14ac:dyDescent="0.45">
      <c r="B48" s="167"/>
      <c r="G48" s="178" t="str">
        <f>収支予算書!G56&amp;""</f>
        <v/>
      </c>
      <c r="H48" s="179" t="str">
        <f>収支予算書!H56&amp;""</f>
        <v/>
      </c>
      <c r="I48" s="180" t="str">
        <f>収支予算書!I56&amp;""</f>
        <v/>
      </c>
      <c r="J48" s="181" t="str">
        <f t="shared" si="0"/>
        <v/>
      </c>
      <c r="K48" s="211" t="str">
        <f>IF(変更申請入力フォーム!B226="",IF(J48&lt;&gt;"",0,""),変更申請入力フォーム!B226)</f>
        <v/>
      </c>
      <c r="L48" s="231" t="str">
        <f>IF(変更申請入力フォーム!B227="",IF(J48&lt;&gt;"",0,""),変更申請入力フォーム!B227)</f>
        <v/>
      </c>
      <c r="M48" s="181" t="str">
        <f t="shared" si="1"/>
        <v/>
      </c>
      <c r="N48" s="230" t="str">
        <f t="shared" si="2"/>
        <v/>
      </c>
      <c r="O48" s="240" t="str">
        <f>変更申請入力フォーム!B228&amp;""</f>
        <v/>
      </c>
    </row>
    <row r="49" spans="2:15" ht="18" customHeight="1" x14ac:dyDescent="0.45">
      <c r="B49" s="167"/>
      <c r="G49" s="174" t="str">
        <f>収支予算書!G57&amp;""</f>
        <v/>
      </c>
      <c r="H49" s="233" t="str">
        <f>収支予算書!H57&amp;""</f>
        <v/>
      </c>
      <c r="I49" s="234" t="str">
        <f>収支予算書!I57&amp;""</f>
        <v/>
      </c>
      <c r="J49" s="235" t="str">
        <f t="shared" si="0"/>
        <v/>
      </c>
      <c r="K49" s="233" t="str">
        <f>IF(変更申請入力フォーム!B230="",IF(J49&lt;&gt;"",0,""),変更申請入力フォーム!B230)</f>
        <v/>
      </c>
      <c r="L49" s="234" t="str">
        <f>IF(変更申請入力フォーム!B231="",IF(J49&lt;&gt;"",0,""),変更申請入力フォーム!B231)</f>
        <v/>
      </c>
      <c r="M49" s="187" t="str">
        <f t="shared" si="1"/>
        <v/>
      </c>
      <c r="N49" s="230" t="str">
        <f t="shared" si="2"/>
        <v/>
      </c>
      <c r="O49" s="241" t="str">
        <f>変更申請入力フォーム!B232&amp;""</f>
        <v/>
      </c>
    </row>
    <row r="50" spans="2:15" ht="18" customHeight="1" x14ac:dyDescent="0.45">
      <c r="B50" s="167"/>
      <c r="D50" s="552" t="s">
        <v>201</v>
      </c>
      <c r="E50" s="552"/>
      <c r="F50" s="552"/>
      <c r="G50" s="168" t="str">
        <f>収支予算書!G58&amp;""</f>
        <v/>
      </c>
      <c r="H50" s="211" t="str">
        <f>収支予算書!H58&amp;""</f>
        <v/>
      </c>
      <c r="I50" s="231" t="str">
        <f>収支予算書!I58&amp;""</f>
        <v/>
      </c>
      <c r="J50" s="232" t="str">
        <f t="shared" si="0"/>
        <v/>
      </c>
      <c r="K50" s="211" t="str">
        <f>IF(変更申請入力フォーム!B239="",IF(J50&lt;&gt;"",0,""),変更申請入力フォーム!B239)</f>
        <v/>
      </c>
      <c r="L50" s="231" t="str">
        <f>IF(変更申請入力フォーム!B240="",IF(J50&lt;&gt;"",0,""),変更申請入力フォーム!B240)</f>
        <v/>
      </c>
      <c r="M50" s="181" t="str">
        <f t="shared" si="1"/>
        <v/>
      </c>
      <c r="N50" s="243" t="str">
        <f t="shared" si="2"/>
        <v/>
      </c>
      <c r="O50" s="240" t="str">
        <f>変更申請入力フォーム!B241&amp;""</f>
        <v/>
      </c>
    </row>
    <row r="51" spans="2:15" ht="18" customHeight="1" x14ac:dyDescent="0.45">
      <c r="B51" s="167"/>
      <c r="G51" s="168" t="str">
        <f>収支予算書!G59&amp;""</f>
        <v/>
      </c>
      <c r="H51" s="211" t="str">
        <f>収支予算書!H59&amp;""</f>
        <v/>
      </c>
      <c r="I51" s="231" t="str">
        <f>収支予算書!I59&amp;""</f>
        <v/>
      </c>
      <c r="J51" s="232" t="str">
        <f t="shared" si="0"/>
        <v/>
      </c>
      <c r="K51" s="211" t="str">
        <f>IF(変更申請入力フォーム!B243="",IF(J51&lt;&gt;"",0,""),変更申請入力フォーム!B243)</f>
        <v/>
      </c>
      <c r="L51" s="231" t="str">
        <f>IF(変更申請入力フォーム!B244="",IF(J51&lt;&gt;"",0,""),変更申請入力フォーム!B244)</f>
        <v/>
      </c>
      <c r="M51" s="181" t="str">
        <f t="shared" si="1"/>
        <v/>
      </c>
      <c r="N51" s="230" t="str">
        <f t="shared" si="2"/>
        <v/>
      </c>
      <c r="O51" s="240" t="str">
        <f>変更申請入力フォーム!B245&amp;""</f>
        <v/>
      </c>
    </row>
    <row r="52" spans="2:15" ht="18" customHeight="1" x14ac:dyDescent="0.45">
      <c r="B52" s="167"/>
      <c r="G52" s="168" t="str">
        <f>収支予算書!G60&amp;""</f>
        <v/>
      </c>
      <c r="H52" s="211" t="str">
        <f>収支予算書!H60&amp;""</f>
        <v/>
      </c>
      <c r="I52" s="231" t="str">
        <f>収支予算書!I60&amp;""</f>
        <v/>
      </c>
      <c r="J52" s="232" t="str">
        <f t="shared" si="0"/>
        <v/>
      </c>
      <c r="K52" s="211" t="str">
        <f>IF(変更申請入力フォーム!B247="",IF(J52&lt;&gt;"",0,""),変更申請入力フォーム!B247)</f>
        <v/>
      </c>
      <c r="L52" s="231" t="str">
        <f>IF(変更申請入力フォーム!B248="",IF(J52&lt;&gt;"",0,""),変更申請入力フォーム!B248)</f>
        <v/>
      </c>
      <c r="M52" s="181" t="str">
        <f t="shared" si="1"/>
        <v/>
      </c>
      <c r="N52" s="230" t="str">
        <f t="shared" si="2"/>
        <v/>
      </c>
      <c r="O52" s="240" t="str">
        <f>変更申請入力フォーム!B249&amp;""</f>
        <v/>
      </c>
    </row>
    <row r="53" spans="2:15" ht="18" customHeight="1" thickBot="1" x14ac:dyDescent="0.5">
      <c r="B53" s="167"/>
      <c r="C53" s="70"/>
      <c r="D53" s="70"/>
      <c r="E53" s="70"/>
      <c r="F53" s="198"/>
      <c r="G53" s="199" t="str">
        <f>収支予算書!G61&amp;""</f>
        <v/>
      </c>
      <c r="H53" s="237" t="str">
        <f>収支予算書!H61&amp;""</f>
        <v/>
      </c>
      <c r="I53" s="238" t="str">
        <f>収支予算書!I61&amp;""</f>
        <v/>
      </c>
      <c r="J53" s="206" t="str">
        <f t="shared" si="0"/>
        <v/>
      </c>
      <c r="K53" s="237" t="str">
        <f>IF(変更申請入力フォーム!B251="",IF(J53&lt;&gt;"",0,""),変更申請入力フォーム!B251)</f>
        <v/>
      </c>
      <c r="L53" s="238" t="str">
        <f>IF(変更申請入力フォーム!B252="",IF(J53&lt;&gt;"",0,""),変更申請入力フォーム!B252)</f>
        <v/>
      </c>
      <c r="M53" s="206" t="str">
        <f t="shared" si="1"/>
        <v/>
      </c>
      <c r="N53" s="230" t="str">
        <f t="shared" si="2"/>
        <v/>
      </c>
      <c r="O53" s="242" t="str">
        <f>変更申請入力フォーム!B253&amp;""</f>
        <v/>
      </c>
    </row>
    <row r="54" spans="2:15" ht="18" customHeight="1" thickBot="1" x14ac:dyDescent="0.5">
      <c r="B54" s="200"/>
      <c r="C54" s="201"/>
      <c r="D54" s="201"/>
      <c r="E54" s="201"/>
      <c r="F54" s="202"/>
      <c r="G54" s="203"/>
      <c r="H54" s="204"/>
      <c r="I54" s="205" t="s">
        <v>343</v>
      </c>
      <c r="J54" s="206">
        <f>IF(SUM(J9:J53)&lt;&gt;0,SUM(J9:J53),"")</f>
        <v>227000</v>
      </c>
      <c r="K54" s="204"/>
      <c r="L54" s="205" t="s">
        <v>343</v>
      </c>
      <c r="M54" s="206" t="str">
        <f>IF(SUM(M9:M53)&lt;&gt;0,SUM(M9:M53),"")</f>
        <v/>
      </c>
      <c r="N54" s="207">
        <f>IF(J54&lt;&gt;"",SUM(N9:N53),"")</f>
        <v>-227000</v>
      </c>
      <c r="O54" s="208"/>
    </row>
  </sheetData>
  <sheetProtection sheet="1" objects="1" scenarios="1"/>
  <mergeCells count="15">
    <mergeCell ref="D46:F46"/>
    <mergeCell ref="D50:F50"/>
    <mergeCell ref="O5:O6"/>
    <mergeCell ref="D9:F9"/>
    <mergeCell ref="D13:F13"/>
    <mergeCell ref="D17:F17"/>
    <mergeCell ref="D34:F34"/>
    <mergeCell ref="D38:F38"/>
    <mergeCell ref="D42:F42"/>
    <mergeCell ref="I3:K3"/>
    <mergeCell ref="L3:O3"/>
    <mergeCell ref="B5:F6"/>
    <mergeCell ref="G5:G6"/>
    <mergeCell ref="H5:J5"/>
    <mergeCell ref="K5:M5"/>
  </mergeCells>
  <phoneticPr fontId="1"/>
  <dataValidations count="1">
    <dataValidation imeMode="off" allowBlank="1" showInputMessage="1" showErrorMessage="1" sqref="J42:J52 J7:J33 M41:M52 M7:M37" xr:uid="{00000000-0002-0000-0800-000000000000}"/>
  </dataValidations>
  <pageMargins left="0.35433070866141736" right="0.35433070866141736" top="0.23622047244094491" bottom="0.19685039370078741" header="0.11811023622047245" footer="0.11811023622047245"/>
  <pageSetup paperSize="9" scale="7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J309"/>
  <sheetViews>
    <sheetView zoomScale="85" zoomScaleNormal="85" workbookViewId="0">
      <selection activeCell="B279" sqref="B279"/>
    </sheetView>
  </sheetViews>
  <sheetFormatPr defaultRowHeight="18" x14ac:dyDescent="0.45"/>
  <cols>
    <col min="1" max="1" width="50" customWidth="1"/>
    <col min="2" max="2" width="52.8984375" customWidth="1"/>
    <col min="3" max="3" width="42.296875" customWidth="1"/>
    <col min="4" max="4" width="0" hidden="1" customWidth="1"/>
    <col min="5" max="5" width="53.3984375" hidden="1" customWidth="1"/>
    <col min="6" max="7" width="29.796875" hidden="1" customWidth="1"/>
    <col min="8" max="8" width="53.3984375" hidden="1" customWidth="1"/>
    <col min="9" max="10" width="29.796875" hidden="1" customWidth="1"/>
    <col min="11" max="11" width="0" hidden="1" customWidth="1"/>
  </cols>
  <sheetData>
    <row r="2" spans="1:10" x14ac:dyDescent="0.45">
      <c r="A2" s="121" t="s">
        <v>293</v>
      </c>
      <c r="B2" s="382" t="str">
        <f>入力フォーム!B2&amp;""</f>
        <v>東京一丁目町会</v>
      </c>
      <c r="C2" t="s">
        <v>561</v>
      </c>
    </row>
    <row r="3" spans="1:10" x14ac:dyDescent="0.45">
      <c r="A3" s="121" t="s">
        <v>294</v>
      </c>
      <c r="B3" s="388" t="str">
        <f>入力フォーム!B3&amp;""</f>
        <v>単一</v>
      </c>
      <c r="F3" s="59">
        <v>200000</v>
      </c>
      <c r="G3" s="59">
        <v>300000</v>
      </c>
      <c r="H3" s="59">
        <v>500000</v>
      </c>
      <c r="I3" s="59">
        <v>1000000</v>
      </c>
      <c r="J3" s="59">
        <v>2000000</v>
      </c>
    </row>
    <row r="4" spans="1:10" x14ac:dyDescent="0.45">
      <c r="A4" s="121" t="s">
        <v>312</v>
      </c>
      <c r="B4" s="383" t="str">
        <f>TEXT(入力フォーム!B4&amp;"","〒000-0000")</f>
        <v>〒111-0001</v>
      </c>
      <c r="C4" t="s">
        <v>561</v>
      </c>
      <c r="F4" s="59"/>
      <c r="G4" s="59"/>
      <c r="H4" s="59"/>
      <c r="I4" s="59"/>
      <c r="J4" s="59"/>
    </row>
    <row r="5" spans="1:10" x14ac:dyDescent="0.45">
      <c r="A5" s="121" t="s">
        <v>313</v>
      </c>
      <c r="B5" s="382" t="str">
        <f>入力フォーム!B5&amp;""</f>
        <v>○○区△△１－２－１</v>
      </c>
      <c r="C5" t="s">
        <v>561</v>
      </c>
    </row>
    <row r="6" spans="1:10" x14ac:dyDescent="0.45">
      <c r="A6" s="121" t="s">
        <v>295</v>
      </c>
      <c r="B6" s="382" t="str">
        <f>入力フォーム!B6&amp;""</f>
        <v>会長</v>
      </c>
      <c r="C6" t="s">
        <v>561</v>
      </c>
    </row>
    <row r="7" spans="1:10" x14ac:dyDescent="0.45">
      <c r="A7" s="121" t="s">
        <v>296</v>
      </c>
      <c r="B7" s="382" t="str">
        <f>入力フォーム!B7&amp;""</f>
        <v>東京　太郎</v>
      </c>
      <c r="C7" t="s">
        <v>561</v>
      </c>
    </row>
    <row r="8" spans="1:10" x14ac:dyDescent="0.45">
      <c r="A8" s="121" t="s">
        <v>297</v>
      </c>
      <c r="B8" s="382" t="str">
        <f>入力フォーム!B8&amp;""</f>
        <v>03-5321-XXXX</v>
      </c>
      <c r="C8" t="s">
        <v>561</v>
      </c>
    </row>
    <row r="9" spans="1:10" x14ac:dyDescent="0.45">
      <c r="A9" s="121" t="s">
        <v>298</v>
      </c>
      <c r="B9" s="382" t="str">
        <f>入力フォーム!B9&amp;""</f>
        <v>副会長</v>
      </c>
      <c r="C9" t="s">
        <v>561</v>
      </c>
    </row>
    <row r="10" spans="1:10" x14ac:dyDescent="0.45">
      <c r="A10" s="121" t="s">
        <v>299</v>
      </c>
      <c r="B10" s="382" t="str">
        <f>入力フォーム!B10&amp;""</f>
        <v>新宿　花子</v>
      </c>
      <c r="C10" t="s">
        <v>561</v>
      </c>
    </row>
    <row r="11" spans="1:10" x14ac:dyDescent="0.45">
      <c r="A11" s="121" t="s">
        <v>314</v>
      </c>
      <c r="B11" s="382" t="str">
        <f>TEXT(入力フォーム!B11&amp;"","〒000-0000")</f>
        <v>〒111-0002</v>
      </c>
      <c r="C11" t="s">
        <v>561</v>
      </c>
    </row>
    <row r="12" spans="1:10" x14ac:dyDescent="0.45">
      <c r="A12" s="121" t="s">
        <v>315</v>
      </c>
      <c r="B12" s="382" t="str">
        <f>入力フォーム!B12&amp;""</f>
        <v>○○区△△３－２－１４</v>
      </c>
      <c r="C12" t="s">
        <v>561</v>
      </c>
    </row>
    <row r="13" spans="1:10" x14ac:dyDescent="0.45">
      <c r="A13" s="121" t="s">
        <v>447</v>
      </c>
      <c r="B13" s="382" t="str">
        <f>入力フォーム!B13&amp;""</f>
        <v>03-5321-YYYY</v>
      </c>
      <c r="C13" t="s">
        <v>561</v>
      </c>
    </row>
    <row r="14" spans="1:10" x14ac:dyDescent="0.45">
      <c r="A14" s="121" t="s">
        <v>448</v>
      </c>
      <c r="B14" s="382" t="str">
        <f>入力フォーム!B14&amp;""</f>
        <v>090-1234-ZZZZ</v>
      </c>
      <c r="C14" t="s">
        <v>561</v>
      </c>
    </row>
    <row r="15" spans="1:10" x14ac:dyDescent="0.45">
      <c r="A15" s="121" t="s">
        <v>300</v>
      </c>
      <c r="B15" s="382" t="str">
        <f>入力フォーム!B15&amp;""</f>
        <v>03-5321-ZZZZ</v>
      </c>
      <c r="C15" t="s">
        <v>561</v>
      </c>
    </row>
    <row r="16" spans="1:10" x14ac:dyDescent="0.45">
      <c r="A16" s="121" t="s">
        <v>301</v>
      </c>
      <c r="B16" s="382" t="str">
        <f>入力フォーム!B16&amp;""</f>
        <v>hanako-s@toooo.xxxx.jp</v>
      </c>
      <c r="C16" t="s">
        <v>561</v>
      </c>
    </row>
    <row r="17" spans="1:6" x14ac:dyDescent="0.45">
      <c r="A17" s="16" t="s">
        <v>333</v>
      </c>
      <c r="B17" s="384">
        <v>45939</v>
      </c>
      <c r="C17" t="s">
        <v>491</v>
      </c>
    </row>
    <row r="18" spans="1:6" x14ac:dyDescent="0.45">
      <c r="A18" t="s">
        <v>87</v>
      </c>
      <c r="B18" s="384">
        <v>45843</v>
      </c>
      <c r="C18" t="s">
        <v>491</v>
      </c>
      <c r="D18" t="str">
        <f>TEXT(B18&amp;"","m月d日")</f>
        <v>7月5日</v>
      </c>
    </row>
    <row r="19" spans="1:6" x14ac:dyDescent="0.45">
      <c r="A19" t="s">
        <v>72</v>
      </c>
      <c r="B19" s="384">
        <v>45962</v>
      </c>
      <c r="C19" t="s">
        <v>491</v>
      </c>
    </row>
    <row r="20" spans="1:6" ht="17.399999999999999" customHeight="1" x14ac:dyDescent="0.45">
      <c r="A20" s="16" t="s">
        <v>272</v>
      </c>
      <c r="B20" s="384">
        <v>45843</v>
      </c>
      <c r="C20" t="s">
        <v>491</v>
      </c>
    </row>
    <row r="21" spans="1:6" ht="17.399999999999999" customHeight="1" x14ac:dyDescent="0.45">
      <c r="A21" s="16" t="s">
        <v>273</v>
      </c>
      <c r="B21" s="384">
        <v>45941</v>
      </c>
      <c r="C21" t="s">
        <v>491</v>
      </c>
    </row>
    <row r="22" spans="1:6" ht="17.399999999999999" customHeight="1" x14ac:dyDescent="0.45">
      <c r="A22" s="121" t="s">
        <v>276</v>
      </c>
      <c r="B22" s="389">
        <f>IF(B18="", "",IF(B20="", "", IF(B20&lt;B18,B20,B18)))</f>
        <v>45843</v>
      </c>
      <c r="D22" t="str">
        <f>TEXT(B22,"ggge年m月d日")</f>
        <v>令和7年7月5日</v>
      </c>
    </row>
    <row r="23" spans="1:6" ht="17.399999999999999" customHeight="1" x14ac:dyDescent="0.45">
      <c r="A23" s="121" t="s">
        <v>277</v>
      </c>
      <c r="B23" s="389">
        <f>IF(B19="", "", IF(B21="", "",IF(B21&gt;B19,B21,B19)))</f>
        <v>45962</v>
      </c>
      <c r="D23" t="str">
        <f>TEXT(B23,"ggge年m月d日")</f>
        <v>令和7年11月1日</v>
      </c>
    </row>
    <row r="24" spans="1:6" x14ac:dyDescent="0.45">
      <c r="A24" t="s">
        <v>280</v>
      </c>
      <c r="B24" s="374">
        <v>30</v>
      </c>
    </row>
    <row r="25" spans="1:6" x14ac:dyDescent="0.45">
      <c r="A25" s="122" t="s">
        <v>279</v>
      </c>
      <c r="B25" s="390" t="str">
        <f>D18</f>
        <v>7月5日</v>
      </c>
      <c r="C25" t="s">
        <v>512</v>
      </c>
      <c r="F25" t="str">
        <f>IF(B25="", "", B25)</f>
        <v>7月5日</v>
      </c>
    </row>
    <row r="26" spans="1:6" x14ac:dyDescent="0.45">
      <c r="A26" t="s">
        <v>278</v>
      </c>
      <c r="B26" s="385">
        <v>45934</v>
      </c>
      <c r="C26" t="s">
        <v>491</v>
      </c>
      <c r="D26" t="str">
        <f t="shared" ref="D26:D36" si="0">TEXT(B26&amp;"","m月d日")</f>
        <v>10月4日</v>
      </c>
      <c r="F26" t="str">
        <f>IF(D26="", "", "、"&amp;D26)</f>
        <v>、10月4日</v>
      </c>
    </row>
    <row r="27" spans="1:6" x14ac:dyDescent="0.45">
      <c r="A27" t="str">
        <f>IF(B26="","↓","打合せ実施日３")</f>
        <v>打合せ実施日３</v>
      </c>
      <c r="B27" s="385">
        <v>45962</v>
      </c>
      <c r="C27" t="s">
        <v>491</v>
      </c>
      <c r="D27" t="str">
        <f t="shared" si="0"/>
        <v>11月1日</v>
      </c>
      <c r="F27" t="str">
        <f>IF(D27="", "", "、"&amp;D27)</f>
        <v>、11月1日</v>
      </c>
    </row>
    <row r="28" spans="1:6" x14ac:dyDescent="0.45">
      <c r="A28" t="str">
        <f>IF(B27="","↓","打合せ実施日４")</f>
        <v>打合せ実施日４</v>
      </c>
      <c r="B28" s="385"/>
      <c r="C28" t="s">
        <v>491</v>
      </c>
      <c r="D28" t="str">
        <f t="shared" si="0"/>
        <v/>
      </c>
      <c r="F28" t="str">
        <f t="shared" ref="F28:F36" si="1">IF(D28="", "", "、"&amp;D28)</f>
        <v/>
      </c>
    </row>
    <row r="29" spans="1:6" x14ac:dyDescent="0.45">
      <c r="A29" t="str">
        <f>IF(B28="","↓","打合せ実施日５")</f>
        <v>↓</v>
      </c>
      <c r="B29" s="385"/>
      <c r="C29" t="s">
        <v>491</v>
      </c>
      <c r="D29" t="str">
        <f t="shared" si="0"/>
        <v/>
      </c>
      <c r="F29" t="str">
        <f t="shared" si="1"/>
        <v/>
      </c>
    </row>
    <row r="30" spans="1:6" x14ac:dyDescent="0.45">
      <c r="A30" t="str">
        <f>IF(B29="","↓","打合せ実施日６")</f>
        <v>↓</v>
      </c>
      <c r="B30" s="385"/>
      <c r="C30" t="s">
        <v>491</v>
      </c>
      <c r="D30" t="str">
        <f t="shared" si="0"/>
        <v/>
      </c>
      <c r="F30" t="str">
        <f t="shared" si="1"/>
        <v/>
      </c>
    </row>
    <row r="31" spans="1:6" x14ac:dyDescent="0.45">
      <c r="A31" t="str">
        <f>IF(B30="","↓","打合せ実施日７")</f>
        <v>↓</v>
      </c>
      <c r="B31" s="385"/>
      <c r="C31" t="s">
        <v>491</v>
      </c>
      <c r="D31" t="str">
        <f t="shared" si="0"/>
        <v/>
      </c>
      <c r="F31" t="str">
        <f>IF(D31="", "", D31)</f>
        <v/>
      </c>
    </row>
    <row r="32" spans="1:6" x14ac:dyDescent="0.45">
      <c r="A32" t="str">
        <f>IF(B31="","↓","打合せ実施日８")</f>
        <v>↓</v>
      </c>
      <c r="B32" s="385"/>
      <c r="C32" t="s">
        <v>491</v>
      </c>
      <c r="D32" t="str">
        <f t="shared" si="0"/>
        <v/>
      </c>
      <c r="F32" t="str">
        <f t="shared" si="1"/>
        <v/>
      </c>
    </row>
    <row r="33" spans="1:6" x14ac:dyDescent="0.45">
      <c r="A33" t="str">
        <f>IF(B32="","↓","打合せ実施日９")</f>
        <v>↓</v>
      </c>
      <c r="B33" s="385"/>
      <c r="C33" t="s">
        <v>491</v>
      </c>
      <c r="D33" t="str">
        <f t="shared" si="0"/>
        <v/>
      </c>
      <c r="F33" t="str">
        <f t="shared" si="1"/>
        <v/>
      </c>
    </row>
    <row r="34" spans="1:6" x14ac:dyDescent="0.45">
      <c r="A34" t="str">
        <f>IF(B33="","↓","打合せ実施日10")</f>
        <v>↓</v>
      </c>
      <c r="B34" s="385"/>
      <c r="C34" t="s">
        <v>491</v>
      </c>
      <c r="D34" t="str">
        <f t="shared" si="0"/>
        <v/>
      </c>
      <c r="F34" t="str">
        <f t="shared" si="1"/>
        <v/>
      </c>
    </row>
    <row r="35" spans="1:6" x14ac:dyDescent="0.45">
      <c r="A35" t="str">
        <f>IF(B34="","↓","打合せ実施日11")</f>
        <v>↓</v>
      </c>
      <c r="B35" s="385"/>
      <c r="C35" t="s">
        <v>491</v>
      </c>
      <c r="D35" t="str">
        <f t="shared" si="0"/>
        <v/>
      </c>
      <c r="F35" t="str">
        <f t="shared" si="1"/>
        <v/>
      </c>
    </row>
    <row r="36" spans="1:6" x14ac:dyDescent="0.45">
      <c r="A36" t="str">
        <f>IF(B35="","↓","打合せ実施日12")</f>
        <v>↓</v>
      </c>
      <c r="B36" s="385"/>
      <c r="C36" t="s">
        <v>491</v>
      </c>
      <c r="D36" t="str">
        <f t="shared" si="0"/>
        <v/>
      </c>
      <c r="F36" t="str">
        <f t="shared" si="1"/>
        <v/>
      </c>
    </row>
    <row r="37" spans="1:6" x14ac:dyDescent="0.45">
      <c r="A37" t="s">
        <v>558</v>
      </c>
      <c r="B37" s="374">
        <v>45</v>
      </c>
    </row>
    <row r="38" spans="1:6" x14ac:dyDescent="0.45">
      <c r="A38" t="s">
        <v>281</v>
      </c>
      <c r="B38" s="385">
        <v>45906</v>
      </c>
      <c r="C38" t="s">
        <v>490</v>
      </c>
    </row>
    <row r="39" spans="1:6" x14ac:dyDescent="0.45">
      <c r="A39" t="s">
        <v>216</v>
      </c>
      <c r="B39" s="385" t="s">
        <v>650</v>
      </c>
    </row>
    <row r="40" spans="1:6" x14ac:dyDescent="0.45">
      <c r="A40" t="s">
        <v>282</v>
      </c>
      <c r="B40" s="376" t="s">
        <v>630</v>
      </c>
      <c r="C40" t="s">
        <v>488</v>
      </c>
      <c r="F40" t="str">
        <f>IF(B40="", "", B40)</f>
        <v>10月18日</v>
      </c>
    </row>
    <row r="41" spans="1:6" x14ac:dyDescent="0.45">
      <c r="A41" t="str">
        <f>IF(B40="","↓","事業実施日２")</f>
        <v>事業実施日２</v>
      </c>
      <c r="B41" s="376"/>
      <c r="C41" t="s">
        <v>489</v>
      </c>
      <c r="F41" t="str">
        <f>IF(B41="", "", "、"&amp;B41)</f>
        <v/>
      </c>
    </row>
    <row r="42" spans="1:6" x14ac:dyDescent="0.45">
      <c r="A42" t="str">
        <f>IF(B41="","↓","実施実施日３")</f>
        <v>↓</v>
      </c>
      <c r="B42" s="376"/>
      <c r="F42" t="str">
        <f t="shared" ref="F42:F44" si="2">IF(B42="", "", "、"&amp;B42)</f>
        <v/>
      </c>
    </row>
    <row r="43" spans="1:6" x14ac:dyDescent="0.45">
      <c r="A43" t="str">
        <f>IF(B42="","↓","事業実施日４")</f>
        <v>↓</v>
      </c>
      <c r="B43" s="376"/>
      <c r="F43" t="str">
        <f t="shared" si="2"/>
        <v/>
      </c>
    </row>
    <row r="44" spans="1:6" x14ac:dyDescent="0.45">
      <c r="A44" t="str">
        <f>IF(B43="","↓","事業実施日５")</f>
        <v>↓</v>
      </c>
      <c r="B44" s="376"/>
      <c r="F44" t="str">
        <f t="shared" si="2"/>
        <v/>
      </c>
    </row>
    <row r="45" spans="1:6" x14ac:dyDescent="0.45">
      <c r="A45" t="str">
        <f>IF(B44="","↓","事業実施日６")</f>
        <v>↓</v>
      </c>
      <c r="B45" s="376"/>
      <c r="F45" t="str">
        <f>IF(B45="", "", B45)</f>
        <v/>
      </c>
    </row>
    <row r="46" spans="1:6" x14ac:dyDescent="0.45">
      <c r="A46" t="s">
        <v>22</v>
      </c>
      <c r="B46" s="385" t="s">
        <v>651</v>
      </c>
    </row>
    <row r="47" spans="1:6" x14ac:dyDescent="0.45">
      <c r="A47" t="str">
        <f>IF(入力フォーム!B38="","↓",IF(入力フォーム!B38="実施しない","↓","助成率の特例（実施した取組について）"))</f>
        <v>↓</v>
      </c>
      <c r="B47" s="260" t="s">
        <v>96</v>
      </c>
      <c r="C47" t="str">
        <f>IF(入力フォーム!B38="実施する","←特例を実施した団体のため、以下入力が必須です","")</f>
        <v/>
      </c>
    </row>
    <row r="48" spans="1:6" x14ac:dyDescent="0.45">
      <c r="A48" t="str">
        <f>IF(入力フォーム!B38="","↓",IF(入力フォーム!B38="実施しない","↓","地域防災力の強化（普及啓発チラシ配布）"))</f>
        <v>↓</v>
      </c>
      <c r="B48" s="366"/>
      <c r="C48" t="s">
        <v>485</v>
      </c>
    </row>
    <row r="49" spans="1:3" x14ac:dyDescent="0.45">
      <c r="A49" t="str">
        <f>IF(入力フォーム!B38="","↓",IF(入力フォーム!B38="実施しない","↓",IF(B48="","↓","普及啓発チラシ配布部数")))</f>
        <v>↓</v>
      </c>
      <c r="B49" s="366"/>
      <c r="C49" t="s">
        <v>366</v>
      </c>
    </row>
    <row r="50" spans="1:3" x14ac:dyDescent="0.45">
      <c r="A50" t="str">
        <f>IF(入力フォーム!B38="","↓",IF(入力フォーム!B38="実施しない","↓","地域防災力の強化（防災訓練の実施）"))</f>
        <v>↓</v>
      </c>
      <c r="B50" s="366"/>
      <c r="C50" t="s">
        <v>485</v>
      </c>
    </row>
    <row r="51" spans="1:3" x14ac:dyDescent="0.45">
      <c r="A51" t="str">
        <f>IF(入力フォーム!B38="","↓",IF(入力フォーム!B38="実施しない","↓","地域防災力の強化（その他）"))</f>
        <v>↓</v>
      </c>
      <c r="B51" s="366"/>
      <c r="C51" t="s">
        <v>366</v>
      </c>
    </row>
    <row r="52" spans="1:3" x14ac:dyDescent="0.45">
      <c r="A52" t="str">
        <f>IF(入力フォーム!B38="","↓",IF(入力フォーム!B38="実施しない","↓","多文化共生社会づくり（理解促進チラシ等配布）"))</f>
        <v>↓</v>
      </c>
      <c r="B52" s="366"/>
      <c r="C52" t="s">
        <v>485</v>
      </c>
    </row>
    <row r="53" spans="1:3" x14ac:dyDescent="0.45">
      <c r="A53" t="str">
        <f>IF(入力フォーム!B38="","↓",IF(入力フォーム!B38="実施しない","↓",IF(B52="","↓","理解促進チラシ配布部数")))</f>
        <v>↓</v>
      </c>
      <c r="B53" s="366"/>
      <c r="C53" t="s">
        <v>366</v>
      </c>
    </row>
    <row r="54" spans="1:3" x14ac:dyDescent="0.45">
      <c r="A54" t="str">
        <f>IF(入力フォーム!B38="","↓",IF(入力フォーム!B38="実施しない","↓","多文化共生社会づくり（事業周知物等の多言語化）"))</f>
        <v>↓</v>
      </c>
      <c r="B54" s="366"/>
      <c r="C54" t="s">
        <v>485</v>
      </c>
    </row>
    <row r="55" spans="1:3" x14ac:dyDescent="0.45">
      <c r="A55" t="str">
        <f>IF(入力フォーム!B38="","↓",IF(入力フォーム!B38="実施しない","↓",IF(B54="","↓","多言語化した周知物等の作成部数")))</f>
        <v>↓</v>
      </c>
      <c r="B55" s="366"/>
      <c r="C55" t="s">
        <v>366</v>
      </c>
    </row>
    <row r="56" spans="1:3" x14ac:dyDescent="0.45">
      <c r="A56" t="str">
        <f>IF(入力フォーム!B38="","↓",IF(入力フォーム!B38="実施しない","↓","多文化共生社会づくり（多文化交流）"))</f>
        <v>↓</v>
      </c>
      <c r="B56" s="366"/>
      <c r="C56" t="s">
        <v>485</v>
      </c>
    </row>
    <row r="57" spans="1:3" x14ac:dyDescent="0.45">
      <c r="A57" t="str">
        <f>IF(入力フォーム!B38="","↓",IF(入力フォーム!B38="実施しない","↓","多文化共生社会づくり（やさしい日本語による周知物）"))</f>
        <v>↓</v>
      </c>
      <c r="B57" s="366"/>
      <c r="C57" t="s">
        <v>485</v>
      </c>
    </row>
    <row r="58" spans="1:3" x14ac:dyDescent="0.45">
      <c r="A58" t="str">
        <f>IF(入力フォーム!B38="","↓",IF(入力フォーム!B38="実施しない","↓","多文化共生社会づくり（その他）"))</f>
        <v>↓</v>
      </c>
      <c r="B58" s="366"/>
      <c r="C58" t="s">
        <v>366</v>
      </c>
    </row>
    <row r="59" spans="1:3" x14ac:dyDescent="0.45">
      <c r="A59" t="str">
        <f>IF(入力フォーム!B38="","↓",IF(入力フォーム!B38="実施しない","↓","取組の具体的な内容"))</f>
        <v>↓</v>
      </c>
      <c r="B59" s="366"/>
    </row>
    <row r="60" spans="1:3" x14ac:dyDescent="0.45">
      <c r="A60" t="str">
        <f>IF(入力フォーム!B38="","↓",IF(入力フォーム!B38="実施しない","↓","助成率の特例について（効果）"))</f>
        <v>↓</v>
      </c>
      <c r="B60" s="259" t="s">
        <v>369</v>
      </c>
    </row>
    <row r="61" spans="1:3" x14ac:dyDescent="0.45">
      <c r="A61" s="119" t="str">
        <f>IF(入力フォーム!B38="","↓",IF(入力フォーム!B38="実施しない","↓","・地域住民の防災への関心が高まり、防災意識の向上につながった。"))</f>
        <v>↓</v>
      </c>
      <c r="B61" s="366"/>
      <c r="C61" t="s">
        <v>485</v>
      </c>
    </row>
    <row r="62" spans="1:3" x14ac:dyDescent="0.45">
      <c r="A62" s="118" t="str">
        <f>IF(入力フォーム!B38="","↓",IF(入力フォーム!B38="実施しない","↓","・災害時には外国人住民にも分かりやすい呼びかけ等が必要なことについて、町会や住民の理解が進んだ"))</f>
        <v>↓</v>
      </c>
      <c r="B62" s="366"/>
      <c r="C62" t="s">
        <v>485</v>
      </c>
    </row>
    <row r="63" spans="1:3" x14ac:dyDescent="0.45">
      <c r="A63" s="119" t="str">
        <f>IF(入力フォーム!B38="","↓",IF(入力フォーム!B38="実施しない","↓","・外国人との共生や多文化理解のきっかけとなった。"))</f>
        <v>↓</v>
      </c>
      <c r="B63" s="366"/>
      <c r="C63" t="s">
        <v>485</v>
      </c>
    </row>
    <row r="64" spans="1:3" x14ac:dyDescent="0.45">
      <c r="A64" s="119" t="str">
        <f>IF(入力フォーム!B38="","↓",IF(入力フォーム!B38="実施しない","↓","・地域の企業や外国人支援団体との繋がりを持つことができた。"))</f>
        <v>↓</v>
      </c>
      <c r="B64" s="366"/>
      <c r="C64" t="s">
        <v>485</v>
      </c>
    </row>
    <row r="65" spans="1:3" x14ac:dyDescent="0.45">
      <c r="A65" t="str">
        <f>IF(入力フォーム!B38="","↓",IF(入力フォーム!B38="実施しない","↓","・その他"))</f>
        <v>↓</v>
      </c>
      <c r="B65" s="366"/>
      <c r="C65" t="s">
        <v>366</v>
      </c>
    </row>
    <row r="66" spans="1:3" x14ac:dyDescent="0.45">
      <c r="A66" t="str">
        <f>IF(入力フォーム!B38="","↓",IF(入力フォーム!B38="実施しない","↓","助成率の特例について（課題）"))</f>
        <v>↓</v>
      </c>
      <c r="B66" s="259" t="s">
        <v>369</v>
      </c>
    </row>
    <row r="67" spans="1:3" x14ac:dyDescent="0.45">
      <c r="A67" s="119" t="str">
        <f>IF(入力フォーム!B38="","↓",IF(入力フォーム!B38="実施しない","↓","・災害時における地域住民の共助の意識をさらに深める必要がある。"))</f>
        <v>↓</v>
      </c>
      <c r="B67" s="366"/>
      <c r="C67" t="s">
        <v>485</v>
      </c>
    </row>
    <row r="68" spans="1:3" x14ac:dyDescent="0.45">
      <c r="A68" s="119" t="str">
        <f>IF(入力フォーム!B38="","↓",IF(入力フォーム!B38="実施しない","↓","・多文化共生の意識を地域全体に根付かせる必要がある。"))</f>
        <v>↓</v>
      </c>
      <c r="B68" s="366"/>
      <c r="C68" t="s">
        <v>485</v>
      </c>
    </row>
    <row r="69" spans="1:3" x14ac:dyDescent="0.45">
      <c r="A69" s="119" t="str">
        <f>IF(入力フォーム!B38="","↓",IF(入力フォーム!B38="実施しない","↓","・より発展的な事業を検討する必要がある。"))</f>
        <v>↓</v>
      </c>
      <c r="B69" s="366"/>
      <c r="C69" t="s">
        <v>485</v>
      </c>
    </row>
    <row r="70" spans="1:3" x14ac:dyDescent="0.45">
      <c r="A70" t="str">
        <f>IF(入力フォーム!B38="","↓",IF(入力フォーム!B38="実施しない","↓","・その他"))</f>
        <v>↓</v>
      </c>
      <c r="B70" s="366"/>
      <c r="C70" t="s">
        <v>366</v>
      </c>
    </row>
    <row r="71" spans="1:3" x14ac:dyDescent="0.45">
      <c r="A71" t="s">
        <v>238</v>
      </c>
      <c r="B71" s="260" t="s">
        <v>96</v>
      </c>
    </row>
    <row r="72" spans="1:3" ht="36" x14ac:dyDescent="0.45">
      <c r="A72" s="119" t="s">
        <v>285</v>
      </c>
      <c r="B72" s="366" t="s">
        <v>619</v>
      </c>
      <c r="C72" t="s">
        <v>485</v>
      </c>
    </row>
    <row r="73" spans="1:3" ht="36" x14ac:dyDescent="0.45">
      <c r="A73" s="119" t="s">
        <v>286</v>
      </c>
      <c r="B73" s="366" t="s">
        <v>619</v>
      </c>
      <c r="C73" t="s">
        <v>485</v>
      </c>
    </row>
    <row r="74" spans="1:3" ht="36" x14ac:dyDescent="0.45">
      <c r="A74" s="119" t="str">
        <f>IF(B73="","－", "新規加入世帯数（把握している範囲で記入）（数字のみ記入））")</f>
        <v>新規加入世帯数（把握している範囲で記入）（数字のみ記入））</v>
      </c>
      <c r="B74" s="386">
        <v>1</v>
      </c>
      <c r="C74" t="str">
        <f>IF(A74="新規加入世帯数（把握している範囲で記入）（数字のみ記入）","※該当する場合、内容を手入力","")</f>
        <v/>
      </c>
    </row>
    <row r="75" spans="1:3" ht="36" x14ac:dyDescent="0.45">
      <c r="A75" s="119" t="s">
        <v>287</v>
      </c>
      <c r="B75" s="366" t="s">
        <v>619</v>
      </c>
      <c r="C75" t="s">
        <v>485</v>
      </c>
    </row>
    <row r="76" spans="1:3" ht="36" x14ac:dyDescent="0.45">
      <c r="A76" s="119" t="s">
        <v>288</v>
      </c>
      <c r="B76" s="366"/>
      <c r="C76" t="s">
        <v>485</v>
      </c>
    </row>
    <row r="77" spans="1:3" ht="36" x14ac:dyDescent="0.45">
      <c r="A77" s="119" t="s">
        <v>289</v>
      </c>
      <c r="B77" s="366"/>
      <c r="C77" t="s">
        <v>485</v>
      </c>
    </row>
    <row r="78" spans="1:3" x14ac:dyDescent="0.45">
      <c r="A78" s="119" t="s">
        <v>291</v>
      </c>
      <c r="B78" s="366" t="s">
        <v>652</v>
      </c>
    </row>
    <row r="79" spans="1:3" x14ac:dyDescent="0.45">
      <c r="A79" s="119" t="s">
        <v>245</v>
      </c>
      <c r="B79" s="366"/>
      <c r="C79" t="s">
        <v>492</v>
      </c>
    </row>
    <row r="80" spans="1:3" x14ac:dyDescent="0.45">
      <c r="A80" t="str">
        <f>IF(入力フォーム!A46="↓","↓",入力フォーム!A46&amp;"（申請時の内容が自動転記）")</f>
        <v>↓</v>
      </c>
      <c r="B80" s="366" t="str">
        <f>入力フォーム!B46&amp;""</f>
        <v/>
      </c>
    </row>
    <row r="81" spans="1:3" x14ac:dyDescent="0.45">
      <c r="A81" s="18" t="str">
        <f>IF(入力フォーム!B51="","↓",入力フォーム!A51&amp;"（申請時の内容が自動転記）")</f>
        <v>↓</v>
      </c>
      <c r="B81" s="366" t="str">
        <f>入力フォーム!B51&amp;""</f>
        <v/>
      </c>
    </row>
    <row r="82" spans="1:3" x14ac:dyDescent="0.45">
      <c r="A82" s="18" t="str">
        <f>IF(入力フォーム!B56="","↓",入力フォーム!A56&amp;"（申請時の内容が自動転記）")</f>
        <v>↓</v>
      </c>
      <c r="B82" s="366" t="str">
        <f>入力フォーム!B56&amp;""</f>
        <v/>
      </c>
    </row>
    <row r="83" spans="1:3" x14ac:dyDescent="0.45">
      <c r="A83" s="18" t="str">
        <f>IF(入力フォーム!B61="","↓",入力フォーム!A61&amp;"（申請時の内容が自動転記）")</f>
        <v>↓</v>
      </c>
      <c r="B83" s="366" t="str">
        <f>入力フォーム!B61&amp;""</f>
        <v/>
      </c>
    </row>
    <row r="84" spans="1:3" x14ac:dyDescent="0.45">
      <c r="A84" s="18" t="str">
        <f>IF(入力フォーム!B66="","↓",入力フォーム!A66&amp;"（申請時の内容が自動転記）")</f>
        <v>↓</v>
      </c>
      <c r="B84" s="366" t="str">
        <f>入力フォーム!B66&amp;""</f>
        <v/>
      </c>
    </row>
    <row r="85" spans="1:3" x14ac:dyDescent="0.45">
      <c r="A85" s="18" t="str">
        <f>IF(入力フォーム!B71="","↓",入力フォーム!A71&amp;"（申請時の内容が自動転記）")</f>
        <v>↓</v>
      </c>
      <c r="B85" s="366" t="str">
        <f>入力フォーム!B71&amp;""</f>
        <v/>
      </c>
    </row>
    <row r="86" spans="1:3" x14ac:dyDescent="0.45">
      <c r="A86" s="18" t="str">
        <f>IF(入力フォーム!B76="","↓",入力フォーム!A76&amp;"（申請時の内容が自動転記）")</f>
        <v>↓</v>
      </c>
      <c r="B86" s="366" t="str">
        <f>入力フォーム!B76&amp;""</f>
        <v/>
      </c>
    </row>
    <row r="87" spans="1:3" x14ac:dyDescent="0.45">
      <c r="A87" t="s">
        <v>356</v>
      </c>
      <c r="B87" s="380" t="s">
        <v>626</v>
      </c>
      <c r="C87" t="s">
        <v>98</v>
      </c>
    </row>
    <row r="88" spans="1:3" ht="37.799999999999997" customHeight="1" x14ac:dyDescent="0.45">
      <c r="A88" s="119" t="str">
        <f>IF(B87="はい",IF(入力フォーム!B227="","↓", "収支予算書に計上された「"&amp;入力フォーム!B227&amp;"」の支出はありますか"),IF(B87="いいえ","↓","↓"))</f>
        <v>収支予算書に計上された「講座講師謝礼」の支出はありますか</v>
      </c>
      <c r="B88" s="380" t="s">
        <v>626</v>
      </c>
      <c r="C88" t="s">
        <v>98</v>
      </c>
    </row>
    <row r="89" spans="1:3" ht="37.799999999999997" customHeight="1" x14ac:dyDescent="0.45">
      <c r="A89" s="119" t="str">
        <f>IF(B87="はい",IF(入力フォーム!B230="","↓", "収支予算書に計上された「"&amp;入力フォーム!B230&amp;"」の支出はありますか"),IF(B87="いいえ","↓","↓"))</f>
        <v>↓</v>
      </c>
      <c r="B89" s="380"/>
      <c r="C89" t="s">
        <v>98</v>
      </c>
    </row>
    <row r="90" spans="1:3" ht="37.799999999999997" customHeight="1" x14ac:dyDescent="0.45">
      <c r="A90" s="119" t="str">
        <f>IF(B87="はい",IF(入力フォーム!B233="","↓", "収支予算書に計上された「"&amp;入力フォーム!B233&amp;"」の支出はありますか"),IF(B87="いいえ","↓","↓"))</f>
        <v>↓</v>
      </c>
      <c r="B90" s="380"/>
      <c r="C90" t="s">
        <v>98</v>
      </c>
    </row>
    <row r="91" spans="1:3" ht="37.799999999999997" customHeight="1" x14ac:dyDescent="0.45">
      <c r="A91" s="119" t="str">
        <f>IF(B87="はい",IF(入力フォーム!B236="","↓", "収支予算書に計上された「"&amp;入力フォーム!B236&amp;"」の支出はありますか"),IF(B87="いいえ","↓","↓"))</f>
        <v>↓</v>
      </c>
      <c r="B91" s="380"/>
      <c r="C91" t="s">
        <v>98</v>
      </c>
    </row>
    <row r="92" spans="1:3" x14ac:dyDescent="0.45">
      <c r="A92" t="str">
        <f>IF(B87="","↓",IF(B87="いいえ","↓（謝礼金１の支出内容）",IF(B88="","↓（謝礼金１の支出内容）",IF(B88="はい","謝礼金１の支出内容（例：防災講習会講師謝礼)","↓（謝礼金１の支出内容）"))))</f>
        <v>謝礼金１の支出内容（例：防災講習会講師謝礼)</v>
      </c>
      <c r="B92" s="380" t="str">
        <f>IF(B88="はい", 収支予算書!G17,"")</f>
        <v>講座講師謝礼</v>
      </c>
      <c r="C92" t="str">
        <f>IF(B93="", "", IF(B93&gt;50000, "←1つの領収書で5万円を超える場合は請求書等の内訳を示すものの添付が必要です", ""))</f>
        <v/>
      </c>
    </row>
    <row r="93" spans="1:3" x14ac:dyDescent="0.45">
      <c r="A93" t="str">
        <f>IF(B87="","↓",IF(B87="いいえ","↓（謝礼金１の決算額（数字のみ記入））",IF(B88="","↓（謝礼金１の決算額（数字のみ記入））",IF(B88="はい","謝礼金１の決算額（数字のみ記入）","↓（謝礼金１の決算額（数字のみ記入））"))))</f>
        <v>謝礼金１の決算額（数字のみ記入）</v>
      </c>
      <c r="B93" s="380">
        <f>IF(B88="はい", 収支予算書!J17,"")</f>
        <v>40000</v>
      </c>
      <c r="C93" t="s">
        <v>507</v>
      </c>
    </row>
    <row r="94" spans="1:3" x14ac:dyDescent="0.45">
      <c r="A94" t="str">
        <f>IF(B87="","↓",IF(B87="いいえ","↓（謝礼金１の領収書番号）",IF(B88="","↓（謝礼金１の領収書番号）",IF(B88="はい","謝礼金１の領収書番号","↓（謝礼金１の領収書番号）"))))</f>
        <v>謝礼金１の領収書番号</v>
      </c>
      <c r="B94" s="380">
        <v>1</v>
      </c>
    </row>
    <row r="95" spans="1:3" x14ac:dyDescent="0.45">
      <c r="A95" t="str">
        <f>IF(B87="","↓",IF(B87="いいえ","↓（謝礼金２の支出内容）",IF(B89="","↓（謝礼金２の支出内容）",IF(B89="はい","謝礼金２の支出内容","↓（謝礼金２の支出内容）"))))</f>
        <v>↓（謝礼金２の支出内容）</v>
      </c>
      <c r="B95" s="380" t="str">
        <f>IF(B89="はい", 収支予算書!G18,"")</f>
        <v/>
      </c>
      <c r="C95" t="str">
        <f>IF(B96="", "", IF(B96&gt;50000, "←1つの領収書で5万円を超える場合は請求書等の内訳を示すものの添付が必要です", ""))</f>
        <v/>
      </c>
    </row>
    <row r="96" spans="1:3" x14ac:dyDescent="0.45">
      <c r="A96" t="str">
        <f>IF(B87="","↓",IF(B87="いいえ","↓（謝礼金２の決算額（数字のみ記入））",IF(B89="","↓（謝礼金２の決算額（数字のみ記入））",IF(B89="はい","謝礼金２の決算額（数字のみ記入）","↓（謝礼金２の決算額（数字のみ記入））"))))</f>
        <v>↓（謝礼金２の決算額（数字のみ記入））</v>
      </c>
      <c r="B96" s="380" t="str">
        <f>IF(B89="はい", 収支予算書!J18,"")</f>
        <v/>
      </c>
      <c r="C96" t="s">
        <v>507</v>
      </c>
    </row>
    <row r="97" spans="1:3" x14ac:dyDescent="0.45">
      <c r="A97" t="str">
        <f>IF(B87="","↓",IF(B87="いいえ","↓（謝礼金２の領収書番号）",IF(B89="","↓（謝礼金２の領収書番号）",IF(B89="はい","謝礼金２の領収書番号","↓（謝礼金２の領収書番号）"))))</f>
        <v>↓（謝礼金２の領収書番号）</v>
      </c>
      <c r="B97" s="380"/>
    </row>
    <row r="98" spans="1:3" x14ac:dyDescent="0.45">
      <c r="A98" t="str">
        <f>IF(B87="","↓",IF(B87="いいえ","↓（謝礼金３の支出内容）",IF(B90="","↓（謝礼金３の支出内容）",IF(B90="はい","謝礼金３の支出内容","↓（謝礼金３の支出内容）"))))</f>
        <v>↓（謝礼金３の支出内容）</v>
      </c>
      <c r="B98" s="380" t="str">
        <f>IF(B90="はい", 収支予算書!G19,"")</f>
        <v/>
      </c>
      <c r="C98" t="str">
        <f>IF(B99="", "", IF(B99&gt;50000, "←1つの領収書で5万円を超える場合は請求書等の内訳を示すものの添付が必要です", ""))</f>
        <v/>
      </c>
    </row>
    <row r="99" spans="1:3" x14ac:dyDescent="0.45">
      <c r="A99" t="str">
        <f>IF(B87="","↓",IF(B87="いいえ","↓（謝礼金３の決算額（数字のみ記入））",IF(B90="","↓（謝礼金３の決算額（数字のみ記入））",IF(B90="はい","謝礼金３の決算額（数字のみ記入）","↓（謝礼金３の決算額（数字のみ記入））"))))</f>
        <v>↓（謝礼金３の決算額（数字のみ記入））</v>
      </c>
      <c r="B99" s="380" t="str">
        <f>IF(B90="はい", 収支予算書!J19,"")</f>
        <v/>
      </c>
      <c r="C99" t="s">
        <v>507</v>
      </c>
    </row>
    <row r="100" spans="1:3" x14ac:dyDescent="0.45">
      <c r="A100" t="str">
        <f>IF(B87="","↓",IF(B87="いいえ","↓（謝礼金３の領収書番号）",IF(B90="","↓（謝礼金３の領収書番号）",IF(B90="はい","謝礼金３の領収書番号","↓（謝礼金３の領収書番号）"))))</f>
        <v>↓（謝礼金３の領収書番号）</v>
      </c>
      <c r="B100" s="380"/>
    </row>
    <row r="101" spans="1:3" x14ac:dyDescent="0.45">
      <c r="A101" t="str">
        <f>IF(B87="","↓",IF(B87="いいえ","↓（謝礼金４の支出内容）",IF(B91="","↓（謝礼金４の支出内容）",IF(B91="はい","謝礼金４の支出内容","↓（謝礼金４の支出内容）"))))</f>
        <v>↓（謝礼金４の支出内容）</v>
      </c>
      <c r="B101" s="380" t="str">
        <f>IF(B91="はい", 収支予算書!G20,"")</f>
        <v/>
      </c>
      <c r="C101" t="str">
        <f>IF(B102="", "", IF(B102&gt;50000, "←1つの領収書で5万円を超える場合は請求書等の内訳を示すものの添付が必要です", ""))</f>
        <v/>
      </c>
    </row>
    <row r="102" spans="1:3" x14ac:dyDescent="0.45">
      <c r="A102" t="str">
        <f>IF(B87="","↓",IF(B87="いいえ","↓（謝礼金４の決算額（数字のみ記入））",IF(B91="","↓（謝礼金４の決算額（数字のみ記入））",IF(B91="はい","謝礼金４の決算額（数字のみ記入）","↓（謝礼金４の決算額（数字のみ記入））"))))</f>
        <v>↓（謝礼金４の決算額（数字のみ記入））</v>
      </c>
      <c r="B102" s="380" t="str">
        <f>IF(B91="はい", 収支予算書!J20,"")</f>
        <v/>
      </c>
      <c r="C102" t="s">
        <v>507</v>
      </c>
    </row>
    <row r="103" spans="1:3" x14ac:dyDescent="0.45">
      <c r="A103" t="str">
        <f>IF(B87="","↓",IF(B87="いいえ","↓（謝礼金４の領収書番号）",IF(B91="","↓（謝礼金４の領収書番号）",IF(B91="はい","謝礼金４の領収書番号","↓（謝礼金４の領収書番号）"))))</f>
        <v>↓（謝礼金４の領収書番号）</v>
      </c>
      <c r="B103" s="380"/>
    </row>
    <row r="104" spans="1:3" x14ac:dyDescent="0.45">
      <c r="A104" t="s">
        <v>357</v>
      </c>
      <c r="B104" s="380" t="s">
        <v>625</v>
      </c>
      <c r="C104" t="s">
        <v>98</v>
      </c>
    </row>
    <row r="105" spans="1:3" ht="37.799999999999997" customHeight="1" x14ac:dyDescent="0.45">
      <c r="A105" s="119" t="str">
        <f>IF(B104="はい",IF(入力フォーム!B240="","↓", "収支予算書に計上された「"&amp;入力フォーム!B240&amp;"」の支出はありますか"),IF(B104="いいえ","↓","↓"))</f>
        <v>↓</v>
      </c>
      <c r="B105" s="380"/>
      <c r="C105" t="s">
        <v>98</v>
      </c>
    </row>
    <row r="106" spans="1:3" ht="37.799999999999997" customHeight="1" x14ac:dyDescent="0.45">
      <c r="A106" s="119" t="str">
        <f>IF(B104="はい",IF(入力フォーム!B243="","↓", "収支予算書に計上された「"&amp;入力フォーム!B243&amp;"」の支出はありますか"),IF(B104="いいえ","↓","↓"))</f>
        <v>↓</v>
      </c>
      <c r="B106" s="380"/>
      <c r="C106" t="s">
        <v>98</v>
      </c>
    </row>
    <row r="107" spans="1:3" ht="37.799999999999997" customHeight="1" x14ac:dyDescent="0.45">
      <c r="A107" s="119" t="str">
        <f>IF(B104="はい",IF(入力フォーム!B246="","↓", "収支予算書に計上された「"&amp;入力フォーム!B246&amp;"」の支出はありますか"),IF(B104="いいえ","↓","↓"))</f>
        <v>↓</v>
      </c>
      <c r="B107" s="380"/>
      <c r="C107" t="s">
        <v>98</v>
      </c>
    </row>
    <row r="108" spans="1:3" ht="37.799999999999997" customHeight="1" x14ac:dyDescent="0.45">
      <c r="A108" s="119" t="str">
        <f>IF(B104="はい",IF(入力フォーム!B249="","↓", "収支予算書に計上された「"&amp;入力フォーム!B249&amp;"」の支出はありますか"),IF(B104="いいえ","↓","↓"))</f>
        <v>↓</v>
      </c>
      <c r="B108" s="380"/>
      <c r="C108" t="s">
        <v>98</v>
      </c>
    </row>
    <row r="109" spans="1:3" x14ac:dyDescent="0.45">
      <c r="A109" s="16" t="str">
        <f>IF(B104="","↓",IF(B104="いいえ","↓（打合せ経費１の支出内容）",IF(B105="","↓（打合せ経費１の支出内容）",IF(B105="はい","打合せ経費１の支出内容（例：打合せ参加者用お茶（500mlペットボトル）)","↓（打合せ経費１の支出内容）"))))</f>
        <v>↓（打合せ経費１の支出内容）</v>
      </c>
      <c r="B109" s="380" t="str">
        <f>IF(B105="はい", 収支予算書!G21,"")</f>
        <v/>
      </c>
      <c r="C109" t="str">
        <f>IF(B110="", "", IF(B110&gt;50000, "←1つの領収書で5万円を超える場合は請求書等の内訳を示すものの添付が必要です", ""))</f>
        <v/>
      </c>
    </row>
    <row r="110" spans="1:3" x14ac:dyDescent="0.45">
      <c r="A110" t="str">
        <f>IF(B104="","↓",IF(B104="いいえ","↓（打合せ経費１の決算額（数字のみ記入））",IF(B105="","↓（打合せ経費１の決算額（数字のみ記入））",IF(B105="はい","打合せ経費１の決算額（数字のみ記入）","↓（打合せ経費１の決算額（数字のみ記入））"))))</f>
        <v>↓（打合せ経費１の決算額（数字のみ記入））</v>
      </c>
      <c r="B110" s="380" t="str">
        <f>IF(B105="はい", 収支予算書!J21,"")</f>
        <v/>
      </c>
      <c r="C110" t="s">
        <v>507</v>
      </c>
    </row>
    <row r="111" spans="1:3" x14ac:dyDescent="0.45">
      <c r="A111" t="str">
        <f>IF(B104="","↓",IF(B104="いいえ","↓（打合せ経費１の領収書番号）",IF(B105="","↓（打合せ経費１の領収書番号）",IF(B105="はい","打合せ経費１の領収書番号","↓（打合せ経費１の領収書番号）"))))</f>
        <v>↓（打合せ経費１の領収書番号）</v>
      </c>
      <c r="B111" s="380"/>
    </row>
    <row r="112" spans="1:3" x14ac:dyDescent="0.45">
      <c r="A112" t="str">
        <f>IF(B104="","↓",IF(B104="いいえ","↓（打合せ経費２の支出内容）",IF(B106="","↓（打合せ経費２の支出内容）",IF(B106="はい","打合せ経費２の支出内容","↓（打合せ経費２の支出内容）"))))</f>
        <v>↓（打合せ経費２の支出内容）</v>
      </c>
      <c r="B112" s="380" t="str">
        <f>IF(B106="はい", 収支予算書!G22,"")</f>
        <v/>
      </c>
      <c r="C112" t="str">
        <f>IF(B113="", "", IF(B113&gt;50000, "←1つの領収書で5万円を超える場合は請求書等の内訳を示すものの添付が必要です", ""))</f>
        <v/>
      </c>
    </row>
    <row r="113" spans="1:3" x14ac:dyDescent="0.45">
      <c r="A113" t="str">
        <f>IF(B104="","↓",IF(B104="いいえ","↓（打合せ経費２の決算額（数字のみ記入））",IF(B106="","↓（打合せ経費２の決算額（数字のみ記入））",IF(B106="はい","打合せ経費２の決算額（数字のみ記入）","↓（打合せ経費２の決算額（数字のみ記入））"))))</f>
        <v>↓（打合せ経費２の決算額（数字のみ記入））</v>
      </c>
      <c r="B113" s="380" t="str">
        <f>IF(B106="はい", 収支予算書!J22,"")</f>
        <v/>
      </c>
      <c r="C113" t="s">
        <v>507</v>
      </c>
    </row>
    <row r="114" spans="1:3" x14ac:dyDescent="0.45">
      <c r="A114" t="str">
        <f>IF(B104="","↓",IF(B104="いいえ","↓（打合せ経費２の領収書番号）",IF(B106="","↓（打合せ経費２の領収書番号）",IF(B106="はい","打合せ経費２の領収書番号","↓（打合せ経費２の領収書番号）"))))</f>
        <v>↓（打合せ経費２の領収書番号）</v>
      </c>
      <c r="B114" s="380"/>
    </row>
    <row r="115" spans="1:3" x14ac:dyDescent="0.45">
      <c r="A115" t="str">
        <f>IF(B104="","↓",IF(B104="いいえ","↓（打合せ経費３の支出内容）",IF(B107="","↓（打合せ経費３の支出内容）",IF(B107="はい","打合せ経費３の支出内容","↓（打合せ経費３の支出内容）"))))</f>
        <v>↓（打合せ経費３の支出内容）</v>
      </c>
      <c r="B115" s="380" t="str">
        <f>IF(B107="はい", 収支予算書!G23,"")</f>
        <v/>
      </c>
      <c r="C115" t="str">
        <f>IF(B116="", "", IF(B116&gt;50000, "←1つの領収書で5万円を超える場合は請求書等の内訳を示すものの添付が必要です", ""))</f>
        <v/>
      </c>
    </row>
    <row r="116" spans="1:3" x14ac:dyDescent="0.45">
      <c r="A116" t="str">
        <f>IF(B104="","↓",IF(B104="いいえ","↓（打合せ経費３の決算額（数字のみ記入））",IF(B107="","↓（打合せ経費３の決算額（数字のみ記入））",IF(B107="はい","打合せ経費３の決算額（数字のみ記入）","↓（打合せ経費３の決算額（数字のみ記入））"))))</f>
        <v>↓（打合せ経費３の決算額（数字のみ記入））</v>
      </c>
      <c r="B116" s="380" t="str">
        <f>IF(B107="はい", 収支予算書!J23,"")</f>
        <v/>
      </c>
      <c r="C116" t="s">
        <v>507</v>
      </c>
    </row>
    <row r="117" spans="1:3" x14ac:dyDescent="0.45">
      <c r="A117" t="str">
        <f>IF(B104="","↓",IF(B104="いいえ","↓（打合せ経費３の領収書番号）",IF(B107="","↓（打合せ経費３の領収書番号）",IF(B107="はい","打合せ経費３の領収書番号","↓（打合せ経費３の領収書番号）"))))</f>
        <v>↓（打合せ経費３の領収書番号）</v>
      </c>
      <c r="B117" s="380"/>
    </row>
    <row r="118" spans="1:3" x14ac:dyDescent="0.45">
      <c r="A118" t="str">
        <f>IF(B104="","↓",IF(B104="いいえ","↓（打合せ経費４の支出内容）",IF(B108="","↓（打合せ経費４の支出内容）",IF(B108="はい","打合せ経費４の支出内容","↓（打合せ経費４の支出内容）"))))</f>
        <v>↓（打合せ経費４の支出内容）</v>
      </c>
      <c r="B118" s="380" t="str">
        <f>IF(B108="はい", 収支予算書!G24,"")</f>
        <v/>
      </c>
      <c r="C118" t="str">
        <f>IF(B119="", "", IF(B119&gt;50000, "←1つの領収書で5万円を超える場合は請求書等の内訳を示すものの添付が必要です", ""))</f>
        <v/>
      </c>
    </row>
    <row r="119" spans="1:3" x14ac:dyDescent="0.45">
      <c r="A119" t="str">
        <f>IF(B104="","↓",IF(B104="いいえ","↓（打合せ経費４の決算額（数字のみ記入））",IF(B108="","↓（打合せ経費４の決算額（数字のみ記入））",IF(B108="はい","打合せ経費４の決算額（数字のみ記入）","↓（打合せ経費４の決算額（数字のみ記入））"))))</f>
        <v>↓（打合せ経費４の決算額（数字のみ記入））</v>
      </c>
      <c r="B119" s="380" t="str">
        <f>IF(B108="はい", 収支予算書!J24,"")</f>
        <v/>
      </c>
      <c r="C119" t="s">
        <v>507</v>
      </c>
    </row>
    <row r="120" spans="1:3" x14ac:dyDescent="0.45">
      <c r="A120" t="str">
        <f>IF(B104="","↓",IF(B104="いいえ","↓（打合せ経費４の領収書番号）",IF(B108="","↓（打合せ経費４の領収書番号）",IF(B108="はい","打合せ経費４の領収書番号","↓（打合せ経費４の領収書番号）"))))</f>
        <v>↓（打合せ経費４の領収書番号）</v>
      </c>
      <c r="B120" s="380"/>
    </row>
    <row r="121" spans="1:3" x14ac:dyDescent="0.45">
      <c r="A121" t="s">
        <v>358</v>
      </c>
      <c r="B121" s="380" t="s">
        <v>626</v>
      </c>
      <c r="C121" t="s">
        <v>98</v>
      </c>
    </row>
    <row r="122" spans="1:3" ht="37.799999999999997" customHeight="1" x14ac:dyDescent="0.45">
      <c r="A122" s="119" t="str">
        <f>IF(B121="はい",IF(入力フォーム!B253="","↓", "収支予算書に計上された「"&amp;入力フォーム!B253&amp;"」の支出はありますか"),IF(B121="いいえ","↓","↓"))</f>
        <v>収支予算書に計上された「チラシ作成用プリンター」の支出はありますか</v>
      </c>
      <c r="B122" s="380" t="s">
        <v>626</v>
      </c>
      <c r="C122" t="s">
        <v>98</v>
      </c>
    </row>
    <row r="123" spans="1:3" ht="37.799999999999997" customHeight="1" x14ac:dyDescent="0.45">
      <c r="A123" s="119" t="str">
        <f>IF(B121="はい",IF(入力フォーム!B256="","↓", "収支予算書に計上された「"&amp;入力フォーム!B256&amp;"」の支出はありますか"),IF(B121="いいえ","↓","↓"))</f>
        <v>収支予算書に計上された「講座資料投影用プロジェクター」の支出はありますか</v>
      </c>
      <c r="B123" s="380" t="s">
        <v>626</v>
      </c>
      <c r="C123" t="s">
        <v>98</v>
      </c>
    </row>
    <row r="124" spans="1:3" ht="37.799999999999997" customHeight="1" x14ac:dyDescent="0.45">
      <c r="A124" s="119" t="str">
        <f>IF(B121="はい",IF(入力フォーム!B259="","↓", "収支予算書に計上された「"&amp;入力フォーム!B259&amp;"」の支出はありますか"),IF(B121="いいえ","↓","↓"))</f>
        <v>収支予算書に計上された「講座資料投影用ノートパソコン」の支出はありますか</v>
      </c>
      <c r="B124" s="380" t="s">
        <v>626</v>
      </c>
      <c r="C124" t="s">
        <v>98</v>
      </c>
    </row>
    <row r="125" spans="1:3" ht="37.799999999999997" customHeight="1" x14ac:dyDescent="0.45">
      <c r="A125" s="119" t="str">
        <f>IF(B121="はい",IF(入力フォーム!B262="","↓", "収支予算書に計上された「"&amp;入力フォーム!B262&amp;"」の支出はありますか"),IF(B121="いいえ","↓","↓"))</f>
        <v>↓</v>
      </c>
      <c r="B125" s="380"/>
      <c r="C125" t="s">
        <v>98</v>
      </c>
    </row>
    <row r="126" spans="1:3" ht="37.799999999999997" customHeight="1" x14ac:dyDescent="0.45">
      <c r="A126" s="119" t="str">
        <f>IF(B121="はい",IF(入力フォーム!B265="","↓", "収支予算書に計上された「"&amp;入力フォーム!B265&amp;"」の支出はありますか"),IF(B121="いいえ","↓","↓"))</f>
        <v>↓</v>
      </c>
      <c r="B126" s="380"/>
      <c r="C126" t="s">
        <v>98</v>
      </c>
    </row>
    <row r="127" spans="1:3" ht="37.799999999999997" customHeight="1" x14ac:dyDescent="0.45">
      <c r="A127" s="119" t="str">
        <f>IF(B121="はい",IF(入力フォーム!B268="","↓", "収支予算書に計上された「"&amp;入力フォーム!B268&amp;"」の支出はありますか"),IF(B121="いいえ","↓","↓"))</f>
        <v>↓</v>
      </c>
      <c r="B127" s="380"/>
      <c r="C127" t="s">
        <v>98</v>
      </c>
    </row>
    <row r="128" spans="1:3" ht="37.799999999999997" customHeight="1" x14ac:dyDescent="0.45">
      <c r="A128" s="119" t="str">
        <f>IF(B121="はい",IF(入力フォーム!B271="","↓", "収支予算書に計上された「"&amp;入力フォーム!B271&amp;"」の支出はありますか"),IF(B121="いいえ","↓","↓"))</f>
        <v>↓</v>
      </c>
      <c r="B128" s="380"/>
      <c r="C128" t="s">
        <v>98</v>
      </c>
    </row>
    <row r="129" spans="1:3" ht="37.799999999999997" customHeight="1" x14ac:dyDescent="0.45">
      <c r="A129" s="119" t="str">
        <f>IF(B121="はい",IF(入力フォーム!B274="","↓", "収支予算書に計上された「"&amp;入力フォーム!B274&amp;"」の支出はありますか"),IF(B121="いいえ","↓","↓"))</f>
        <v>↓</v>
      </c>
      <c r="B129" s="380"/>
      <c r="C129" t="s">
        <v>98</v>
      </c>
    </row>
    <row r="130" spans="1:3" ht="37.799999999999997" customHeight="1" x14ac:dyDescent="0.45">
      <c r="A130" s="119" t="str">
        <f>IF(B121="はい",IF(入力フォーム!B277="","↓", "収支予算書に計上された「"&amp;入力フォーム!B277&amp;"」の支出はありますか"),IF(B121="いいえ","↓","↓"))</f>
        <v>↓</v>
      </c>
      <c r="B130" s="380"/>
      <c r="C130" t="s">
        <v>98</v>
      </c>
    </row>
    <row r="131" spans="1:3" ht="37.799999999999997" customHeight="1" x14ac:dyDescent="0.45">
      <c r="A131" s="119" t="str">
        <f>IF(B121="はい",IF(入力フォーム!B280="","↓", "収支予算書に計上された「"&amp;入力フォーム!B280&amp;"」の支出はありますか"),IF(B121="いいえ","↓","↓"))</f>
        <v>↓</v>
      </c>
      <c r="B131" s="380"/>
      <c r="C131" t="s">
        <v>98</v>
      </c>
    </row>
    <row r="132" spans="1:3" ht="37.799999999999997" customHeight="1" x14ac:dyDescent="0.45">
      <c r="A132" s="119" t="str">
        <f>IF(B121="はい",IF(入力フォーム!B283="","↓", "収支予算書に計上された「"&amp;入力フォーム!B283&amp;"」の支出はありますか"),IF(B121="いいえ","↓","↓"))</f>
        <v>↓</v>
      </c>
      <c r="B132" s="380"/>
      <c r="C132" t="s">
        <v>98</v>
      </c>
    </row>
    <row r="133" spans="1:3" ht="37.799999999999997" customHeight="1" x14ac:dyDescent="0.45">
      <c r="A133" s="119" t="str">
        <f>IF(B121="はい",IF(入力フォーム!B286="","↓", "収支予算書に計上された「"&amp;入力フォーム!B286&amp;"」の支出はありますか"),IF(B121="いいえ","↓","↓"))</f>
        <v>↓</v>
      </c>
      <c r="B133" s="380"/>
      <c r="C133" t="s">
        <v>98</v>
      </c>
    </row>
    <row r="134" spans="1:3" ht="37.799999999999997" customHeight="1" x14ac:dyDescent="0.45">
      <c r="A134" s="119" t="str">
        <f>IF(B121="はい",IF(入力フォーム!B289="","↓", "収支予算書に計上された「"&amp;入力フォーム!B289&amp;"」の支出はありますか"),IF(B121="いいえ","↓","↓"))</f>
        <v>↓</v>
      </c>
      <c r="B134" s="380"/>
      <c r="C134" t="s">
        <v>98</v>
      </c>
    </row>
    <row r="135" spans="1:3" ht="37.799999999999997" customHeight="1" x14ac:dyDescent="0.45">
      <c r="A135" s="119" t="str">
        <f>IF(B121="はい",IF(入力フォーム!B292="","↓", "収支予算書に計上された「"&amp;入力フォーム!B292&amp;"」の支出はありますか"),IF(B121="いいえ","↓","↓"))</f>
        <v>↓</v>
      </c>
      <c r="B135" s="380"/>
      <c r="C135" t="s">
        <v>98</v>
      </c>
    </row>
    <row r="136" spans="1:3" ht="37.799999999999997" customHeight="1" x14ac:dyDescent="0.45">
      <c r="A136" s="119" t="str">
        <f>IF(B121="はい",IF(入力フォーム!B295="","↓", "収支予算書に計上された「"&amp;入力フォーム!B295&amp;"」の支出はありますか"),IF(B121="いいえ","↓","↓"))</f>
        <v>↓</v>
      </c>
      <c r="B136" s="380"/>
      <c r="C136" t="s">
        <v>98</v>
      </c>
    </row>
    <row r="137" spans="1:3" ht="37.799999999999997" customHeight="1" x14ac:dyDescent="0.45">
      <c r="A137" s="119" t="str">
        <f>IF(B121="はい",IF(入力フォーム!B298="","↓", "収支予算書に計上された「"&amp;入力フォーム!B298&amp;"」の支出はありますか"),IF(B121="いいえ","↓","↓"))</f>
        <v>↓</v>
      </c>
      <c r="B137" s="380"/>
      <c r="C137" t="s">
        <v>98</v>
      </c>
    </row>
    <row r="138" spans="1:3" ht="37.799999999999997" customHeight="1" x14ac:dyDescent="0.45">
      <c r="A138" s="119" t="str">
        <f>IF(B121="はい",IF(入力フォーム!B301="","↓", "収支予算書に計上された「"&amp;入力フォーム!B301&amp;"」の支出はありますか"),IF(B121="いいえ","↓","↓"))</f>
        <v>↓</v>
      </c>
      <c r="B138" s="380"/>
      <c r="C138" t="s">
        <v>98</v>
      </c>
    </row>
    <row r="139" spans="1:3" x14ac:dyDescent="0.45">
      <c r="A139" s="16" t="str">
        <f>IF(B121="","↓",IF(B121="いいえ","↓（物品購入費１の支出内容）",IF(B122="","↓（物品購入費１の支出内容）",IF(B122="はい","物品購入費１の支出内容（例：模擬店用食材（焼きそば・フランクフルト・かき氷）)","↓（物品購入費１の支出内容）"))))</f>
        <v>物品購入費１の支出内容（例：模擬店用食材（焼きそば・フランクフルト・かき氷）)</v>
      </c>
      <c r="B139" s="380" t="str">
        <f>IF(B122="はい", 収支予算書!G25,"")</f>
        <v>チラシ作成用プリンター</v>
      </c>
      <c r="C139" t="str">
        <f>IF(B140="", "", IF(B140&gt;50000, "←1つの領収書で5万円を超える場合は請求書等の内訳を示すものの添付が必要です", ""))</f>
        <v/>
      </c>
    </row>
    <row r="140" spans="1:3" x14ac:dyDescent="0.45">
      <c r="A140" t="str">
        <f>IF(B121="","↓",IF(B121="いいえ","↓（物品購入費１の決算額（数字のみ記入））",IF(B122="","↓（物品購入費１の決算額（数字のみ記入））",IF(B122="はい","物品購入費１の決算額（数字のみ記入）","↓（物品購入費１の決算額（数字のみ記入））"))))</f>
        <v>物品購入費１の決算額（数字のみ記入）</v>
      </c>
      <c r="B140" s="380">
        <f>IF(B122="はい", 収支予算書!J25,"")</f>
        <v>40000</v>
      </c>
      <c r="C140" t="s">
        <v>507</v>
      </c>
    </row>
    <row r="141" spans="1:3" x14ac:dyDescent="0.45">
      <c r="A141" t="str">
        <f>IF(B121="","↓",IF(B121="いいえ","↓（物品購入費１の領収書番号）",IF(B122="","↓（物品購入費１の領収書番号）",IF(B122="はい","物品購入費１の領収書番号","↓（物品購入費１の領収書番号）"))))</f>
        <v>物品購入費１の領収書番号</v>
      </c>
      <c r="B141" s="380">
        <v>2</v>
      </c>
    </row>
    <row r="142" spans="1:3" x14ac:dyDescent="0.45">
      <c r="A142" t="str">
        <f>IF(B121="","↓",IF(B121="いいえ","↓（物品購入費２の支出内容）",IF(B123="","↓（物品購入費２の支出内容）",IF(B123="はい","物品購入費２の支出内容","↓（物品購入費２の支出内容）"))))</f>
        <v>物品購入費２の支出内容</v>
      </c>
      <c r="B142" s="380" t="str">
        <f>IF(B123="はい", 収支予算書!G26,"")</f>
        <v>講座資料投影用プロジェクター</v>
      </c>
      <c r="C142" t="str">
        <f>IF(B143="", "", IF(B143&gt;50000, "←1つの領収書で5万円を超える場合は請求書等の内訳を示すものの添付が必要です", ""))</f>
        <v/>
      </c>
    </row>
    <row r="143" spans="1:3" x14ac:dyDescent="0.45">
      <c r="A143" t="str">
        <f>IF(B121="","↓",IF(B121="いいえ","↓（物品購入費２の決算額（数字のみ記入））",IF(B123="","↓（物品購入費２の決算額（数字のみ記入））",IF(B123="はい","物品購入費２の決算額（数字のみ記入）","↓（物品購入費２の決算額（数字のみ記入））"))))</f>
        <v>物品購入費２の決算額（数字のみ記入）</v>
      </c>
      <c r="B143" s="380">
        <f>IF(B123="はい", 収支予算書!J26,"")</f>
        <v>45000</v>
      </c>
      <c r="C143" t="s">
        <v>507</v>
      </c>
    </row>
    <row r="144" spans="1:3" x14ac:dyDescent="0.45">
      <c r="A144" t="str">
        <f>IF(B121="","↓",IF(B121="いいえ","↓（物品購入費２の領収書番号）",IF(B123="","↓（物品購入費２の領収書番号）",IF(B123="はい","物品購入費２の領収書番号","↓（物品購入費２の領収書番号）"))))</f>
        <v>物品購入費２の領収書番号</v>
      </c>
      <c r="B144" s="380">
        <v>2</v>
      </c>
    </row>
    <row r="145" spans="1:3" x14ac:dyDescent="0.45">
      <c r="A145" t="str">
        <f>IF(B121="","↓",IF(B121="いいえ","↓（物品購入費３の支出内容）",IF(B124="","↓（物品購入費３の支出内容）",IF(B124="はい","物品購入費３の支出内容","↓（物品購入費３の支出内容）"))))</f>
        <v>物品購入費３の支出内容</v>
      </c>
      <c r="B145" s="380" t="str">
        <f>IF(B124="はい", 収支予算書!G27,"")</f>
        <v>講座資料投影用ノートパソコン</v>
      </c>
      <c r="C145" t="str">
        <f>IF(B146="", "", IF(B146&gt;50000, "←1つの領収書で5万円を超える場合は請求書等の内訳を示すものの添付が必要です", ""))</f>
        <v>←1つの領収書で5万円を超える場合は請求書等の内訳を示すものの添付が必要です</v>
      </c>
    </row>
    <row r="146" spans="1:3" x14ac:dyDescent="0.45">
      <c r="A146" t="str">
        <f>IF(B121="","↓",IF(B121="いいえ","↓（物品購入費３の決算額（数字のみ記入））",IF(B124="","↓（物品購入費３の決算額（数字のみ記入））",IF(B124="はい","物品購入費３の決算額（数字のみ記入）","↓（物品購入費３の決算額（数字のみ記入））"))))</f>
        <v>物品購入費３の決算額（数字のみ記入）</v>
      </c>
      <c r="B146" s="380">
        <f>IF(B124="はい", 収支予算書!J27,"")</f>
        <v>100000</v>
      </c>
      <c r="C146" t="s">
        <v>507</v>
      </c>
    </row>
    <row r="147" spans="1:3" x14ac:dyDescent="0.45">
      <c r="A147" t="str">
        <f>IF(B121="","↓",IF(B121="いいえ","↓（物品購入費３の領収書番号）",IF(B124="","↓（物品購入費３の領収書番号）",IF(B124="はい","物品購入費３の領収書番号","↓（物品購入費３の領収書番号）"))))</f>
        <v>物品購入費３の領収書番号</v>
      </c>
      <c r="B147" s="380">
        <v>2</v>
      </c>
    </row>
    <row r="148" spans="1:3" x14ac:dyDescent="0.45">
      <c r="A148" t="str">
        <f>IF(B121="","↓",IF(B121="いいえ","↓（物品購入費４の支出内容）",IF(B125="","↓（物品購入費４の支出内容）",IF(B125="はい","物品購入費４の支出内容","↓（物品購入費４の支出内容）"))))</f>
        <v>↓（物品購入費４の支出内容）</v>
      </c>
      <c r="B148" s="380" t="str">
        <f>IF(B125="はい", 収支予算書!G28,"")</f>
        <v/>
      </c>
      <c r="C148" t="str">
        <f>IF(B149="", "", IF(B149&gt;50000, "←1つの領収書で5万円を超える場合は請求書等の内訳を示すものの添付が必要です", ""))</f>
        <v/>
      </c>
    </row>
    <row r="149" spans="1:3" x14ac:dyDescent="0.45">
      <c r="A149" t="str">
        <f>IF(B121="","↓",IF(B121="いいえ","↓（物品購入費４の決算額（数字のみ記入））",IF(B125="","↓（物品購入費４の決算額（数字のみ記入））",IF(B125="はい","物品購入費４の決算額（数字のみ記入）","↓（物品購入費４の決算額（数字のみ記入））"))))</f>
        <v>↓（物品購入費４の決算額（数字のみ記入））</v>
      </c>
      <c r="B149" s="380" t="str">
        <f>IF(B125="はい", 収支予算書!J28,"")</f>
        <v/>
      </c>
      <c r="C149" t="s">
        <v>507</v>
      </c>
    </row>
    <row r="150" spans="1:3" x14ac:dyDescent="0.45">
      <c r="A150" t="str">
        <f>IF(B121="","↓",IF(B121="いいえ","↓（物品購入費４の領収書番号）",IF(B125="","↓（物品購入費４の領収書番号）",IF(B125="はい","物品購入費４の領収書番号","↓（物品購入費４の領収書番号）"))))</f>
        <v>↓（物品購入費４の領収書番号）</v>
      </c>
      <c r="B150" s="380"/>
    </row>
    <row r="151" spans="1:3" x14ac:dyDescent="0.45">
      <c r="A151" t="str">
        <f>IF(B121="","↓",IF(B121="いいえ","↓（物品購入費５の支出内容）",IF(B126="","↓（物品購入費５の支出内容）",IF(B126="はい","物品購入費５の支出内容","↓（物品購入費５の支出内容）"))))</f>
        <v>↓（物品購入費５の支出内容）</v>
      </c>
      <c r="B151" s="380" t="str">
        <f>IF(B126="はい", 収支予算書!G29,"")</f>
        <v/>
      </c>
      <c r="C151" t="str">
        <f>IF(B152="", "", IF(B152&gt;50000, "←1つの領収書で5万円を超える場合は請求書等の内訳を示すものの添付が必要です", ""))</f>
        <v/>
      </c>
    </row>
    <row r="152" spans="1:3" x14ac:dyDescent="0.45">
      <c r="A152" t="str">
        <f>IF(B121="","↓",IF(B121="いいえ","↓（物品購入費５の決算額（数字のみ記入））",IF(B126="","↓（物品購入費５の決算額（数字のみ記入））",IF(B126="はい","物品購入費５の決算額（数字のみ記入）","↓（物品購入費５の決算額（数字のみ記入））"))))</f>
        <v>↓（物品購入費５の決算額（数字のみ記入））</v>
      </c>
      <c r="B152" s="380" t="str">
        <f>IF(B126="はい", 収支予算書!J29,"")</f>
        <v/>
      </c>
      <c r="C152" t="s">
        <v>507</v>
      </c>
    </row>
    <row r="153" spans="1:3" x14ac:dyDescent="0.45">
      <c r="A153" t="str">
        <f>IF(B121="","↓",IF(B121="いいえ","↓（物品購入費５の領収書番号）",IF(B126="","↓（物品購入費５の領収書番号）",IF(B126="はい","物品購入費５の領収書番号","↓（物品購入費５の領収書番号）"))))</f>
        <v>↓（物品購入費５の領収書番号）</v>
      </c>
      <c r="B153" s="380"/>
    </row>
    <row r="154" spans="1:3" x14ac:dyDescent="0.45">
      <c r="A154" t="str">
        <f>IF(B121="","↓",IF(B121="いいえ","↓（物品購入費６の支出内容）",IF(B127="","↓（物品購入費６の支出内容）",IF(B127="はい","物品購入費６の支出内容","↓（物品購入費６の支出内容）"))))</f>
        <v>↓（物品購入費６の支出内容）</v>
      </c>
      <c r="B154" s="380" t="str">
        <f>IF(B127="はい", 収支予算書!G30,"")</f>
        <v/>
      </c>
      <c r="C154" t="str">
        <f>IF(B155="", "", IF(B155&gt;50000, "←1つの領収書で5万円を超える場合は請求書等の内訳を示すものの添付が必要です", ""))</f>
        <v/>
      </c>
    </row>
    <row r="155" spans="1:3" x14ac:dyDescent="0.45">
      <c r="A155" t="str">
        <f>IF(B121="","↓",IF(B121="いいえ","↓（物品購入費６の決算額（数字のみ記入））",IF(B127="","↓（物品購入費６の決算額（数字のみ記入））",IF(B127="はい","物品購入費６の決算額（数字のみ記入）","↓（物品購入費６の決算額（数字のみ記入））"))))</f>
        <v>↓（物品購入費６の決算額（数字のみ記入））</v>
      </c>
      <c r="B155" s="380" t="str">
        <f>IF(B127="はい", 収支予算書!J30,"")</f>
        <v/>
      </c>
      <c r="C155" t="s">
        <v>507</v>
      </c>
    </row>
    <row r="156" spans="1:3" x14ac:dyDescent="0.45">
      <c r="A156" t="str">
        <f>IF(B121="","↓",IF(B121="いいえ","↓（物品購入費６の領収書番号）",IF(B127="","↓（物品購入費６の領収書番号）",IF(B127="はい","物品購入費６の領収書番号","↓（物品購入費６の領収書番号）"))))</f>
        <v>↓（物品購入費６の領収書番号）</v>
      </c>
      <c r="B156" s="380"/>
    </row>
    <row r="157" spans="1:3" x14ac:dyDescent="0.45">
      <c r="A157" t="str">
        <f>IF(B121="","↓",IF(B121="いいえ","↓（物品購入費７の支出内容）",IF(B128="","↓（物品購入費７の支出内容）",IF(B128="はい","物品購入費７の支出内容","↓（物品購入費７の支出内容）"))))</f>
        <v>↓（物品購入費７の支出内容）</v>
      </c>
      <c r="B157" s="380" t="str">
        <f>IF(B128="はい", 収支予算書!G31,"")</f>
        <v/>
      </c>
      <c r="C157" t="str">
        <f>IF(B158="", "", IF(B158&gt;50000, "←1つの領収書で5万円を超える場合は請求書等の内訳を示すものの添付が必要です", ""))</f>
        <v/>
      </c>
    </row>
    <row r="158" spans="1:3" x14ac:dyDescent="0.45">
      <c r="A158" t="str">
        <f>IF(B121="","↓",IF(B121="いいえ","↓（物品購入費７の決算額（数字のみ記入））",IF(B128="","↓（物品購入費７の決算額（数字のみ記入））",IF(B128="はい","物品購入費７の決算額（数字のみ記入）","↓（物品購入費７の決算額（数字のみ記入））"))))</f>
        <v>↓（物品購入費７の決算額（数字のみ記入））</v>
      </c>
      <c r="B158" s="380" t="str">
        <f>IF(B128="はい", 収支予算書!J31,"")</f>
        <v/>
      </c>
      <c r="C158" t="s">
        <v>507</v>
      </c>
    </row>
    <row r="159" spans="1:3" x14ac:dyDescent="0.45">
      <c r="A159" t="str">
        <f>IF(B121="","↓",IF(B121="いいえ","↓（物品購入費７の領収書番号）",IF(B128="","↓（物品購入費７の領収書番号）",IF(B128="はい","物品購入費７の領収書番号","↓（物品購入費７の領収書番号）"))))</f>
        <v>↓（物品購入費７の領収書番号）</v>
      </c>
      <c r="B159" s="380"/>
    </row>
    <row r="160" spans="1:3" x14ac:dyDescent="0.45">
      <c r="A160" t="str">
        <f>IF(B121="","↓",IF(B121="いいえ","↓（物品購入費８の支出内容）",IF(B129="","↓（物品購入費８の支出内容）",IF(B129="はい","物品購入費８の支出内容","↓（物品購入費８の支出内容）"))))</f>
        <v>↓（物品購入費８の支出内容）</v>
      </c>
      <c r="B160" s="380" t="str">
        <f>IF(B129="はい", 収支予算書!G32,"")</f>
        <v/>
      </c>
      <c r="C160" t="str">
        <f>IF(B161="", "", IF(B161&gt;50000, "←1つの領収書で5万円を超える場合は請求書等の内訳を示すものの添付が必要です", ""))</f>
        <v/>
      </c>
    </row>
    <row r="161" spans="1:3" x14ac:dyDescent="0.45">
      <c r="A161" t="str">
        <f>IF(B121="","↓",IF(B121="いいえ","↓（物品購入費８の決算額（数字のみ記入））",IF(B129="","↓（物品購入費８の決算額（数字のみ記入））",IF(B129="はい","物品購入費８の決算額（数字のみ記入）","↓（物品購入費８の決算額（数字のみ記入））"))))</f>
        <v>↓（物品購入費８の決算額（数字のみ記入））</v>
      </c>
      <c r="B161" s="380" t="str">
        <f>IF(B129="はい", 収支予算書!J32,"")</f>
        <v/>
      </c>
      <c r="C161" t="s">
        <v>507</v>
      </c>
    </row>
    <row r="162" spans="1:3" x14ac:dyDescent="0.45">
      <c r="A162" t="str">
        <f>IF(B121="","↓",IF(B121="いいえ","↓（物品購入費８の領収書番号）",IF(B129="","↓（物品購入費８の領収書番号）",IF(B129="はい","物品購入費８の領収書番号","↓（物品購入費８の領収書番号）"))))</f>
        <v>↓（物品購入費８の領収書番号）</v>
      </c>
      <c r="B162" s="380"/>
    </row>
    <row r="163" spans="1:3" x14ac:dyDescent="0.45">
      <c r="A163" t="str">
        <f>IF(B121="","↓",IF(B121="いいえ","↓（物品購入費９の支出内容）",IF(B130="","↓（物品購入費９の支出内容）",IF(B130="はい","物品購入費９の支出内容","↓（物品購入費９の支出内容）"))))</f>
        <v>↓（物品購入費９の支出内容）</v>
      </c>
      <c r="B163" s="380" t="str">
        <f>IF(B130="はい", 収支予算書!G33,"")</f>
        <v/>
      </c>
      <c r="C163" t="str">
        <f>IF(B164="", "", IF(B164&gt;50000, "←1つの領収書で5万円を超える場合は請求書等の内訳を示すものの添付が必要です", ""))</f>
        <v/>
      </c>
    </row>
    <row r="164" spans="1:3" x14ac:dyDescent="0.45">
      <c r="A164" t="str">
        <f>IF(B121="","↓",IF(B121="いいえ","↓（物品購入費９の決算額（数字のみ記入））",IF(B130="","↓（物品購入費９の決算額（数字のみ記入））",IF(B130="はい","物品購入費９の決算額（数字のみ記入）","↓（物品購入費９の決算額（数字のみ記入））"))))</f>
        <v>↓（物品購入費９の決算額（数字のみ記入））</v>
      </c>
      <c r="B164" s="380" t="str">
        <f>IF(B130="はい", 収支予算書!J33,"")</f>
        <v/>
      </c>
      <c r="C164" t="s">
        <v>507</v>
      </c>
    </row>
    <row r="165" spans="1:3" x14ac:dyDescent="0.45">
      <c r="A165" t="str">
        <f>IF(B121="","↓",IF(B121="いいえ","↓（物品購入費９の領収書番号）",IF(B130="","↓（物品購入費９の領収書番号）",IF(B130="はい","物品購入費９の領収書番号","↓（物品購入費９の領収書番号）"))))</f>
        <v>↓（物品購入費９の領収書番号）</v>
      </c>
      <c r="B165" s="380"/>
    </row>
    <row r="166" spans="1:3" x14ac:dyDescent="0.45">
      <c r="A166" t="str">
        <f>IF(B121="","↓",IF(B121="いいえ","↓（物品購入費10の支出内容）",IF(B131="","↓（物品購入費10の支出内容）",IF(B131="はい","物品購入費10の支出内容","↓（物品購入費10の支出内容）"))))</f>
        <v>↓（物品購入費10の支出内容）</v>
      </c>
      <c r="B166" s="380" t="str">
        <f>IF(B131="はい", 収支予算書!G34,"")</f>
        <v/>
      </c>
      <c r="C166" t="str">
        <f>IF(B167="", "", IF(B167&gt;50000, "←1つの領収書で5万円を超える場合は請求書等の内訳を示すものの添付が必要です", ""))</f>
        <v/>
      </c>
    </row>
    <row r="167" spans="1:3" x14ac:dyDescent="0.45">
      <c r="A167" t="str">
        <f>IF(B121="","↓",IF(B121="いいえ","↓（物品購入費10の決算額（数字のみ記入））",IF(B131="","↓（物品購入費10の決算額（数字のみ記入））",IF(B131="はい","物品購入費10の決算額（数字のみ記入）","↓（物品購入費10の決算額（数字のみ記入））"))))</f>
        <v>↓（物品購入費10の決算額（数字のみ記入））</v>
      </c>
      <c r="B167" s="380" t="str">
        <f>IF(B131="はい", 収支予算書!J34,"")</f>
        <v/>
      </c>
      <c r="C167" t="s">
        <v>507</v>
      </c>
    </row>
    <row r="168" spans="1:3" x14ac:dyDescent="0.45">
      <c r="A168" t="str">
        <f>IF(B121="","↓",IF(B121="いいえ","↓（物品購入費10の領収書番号）",IF(B131="","↓（物品購入費10の領収書番号）",IF(B131="はい","物品購入費10の領収書番号","↓（物品購入費10の領収書番号）"))))</f>
        <v>↓（物品購入費10の領収書番号）</v>
      </c>
      <c r="B168" s="380"/>
    </row>
    <row r="169" spans="1:3" x14ac:dyDescent="0.45">
      <c r="A169" t="str">
        <f>IF(B121="","↓",IF(B121="いいえ","↓（物品購入費11の支出内容）",IF(B132="","↓（物品購入費11の支出内容）",IF(B132="はい","物品購入費11の支出内容","↓（物品購入費11の支出内容）"))))</f>
        <v>↓（物品購入費11の支出内容）</v>
      </c>
      <c r="B169" s="380" t="str">
        <f>IF(B132="はい", 収支予算書!G35,"")</f>
        <v/>
      </c>
      <c r="C169" t="str">
        <f>IF(B170="", "", IF(B170&gt;50000, "←1つの領収書で5万円を超える場合は請求書等の内訳を示すものの添付が必要です", ""))</f>
        <v/>
      </c>
    </row>
    <row r="170" spans="1:3" x14ac:dyDescent="0.45">
      <c r="A170" t="str">
        <f>IF(B121="","↓",IF(B121="いいえ","↓（物品購入費11の決算額（数字のみ記入））",IF(B132="","↓（物品購入費11の決算額（数字のみ記入））",IF(B132="はい","物品購入費11の決算額（数字のみ記入）","↓（物品購入費11の決算額（数字のみ記入））"))))</f>
        <v>↓（物品購入費11の決算額（数字のみ記入））</v>
      </c>
      <c r="B170" s="380" t="str">
        <f>IF(B132="はい", 収支予算書!J35,"")</f>
        <v/>
      </c>
      <c r="C170" t="s">
        <v>507</v>
      </c>
    </row>
    <row r="171" spans="1:3" x14ac:dyDescent="0.45">
      <c r="A171" t="str">
        <f>IF(B121="","↓",IF(B121="いいえ","↓（物品購入費11の領収書番号）",IF(B132="","↓（物品購入費11の領収書番号）",IF(B132="はい","物品購入費11の領収書番号","↓（物品購入費11の領収書番号）"))))</f>
        <v>↓（物品購入費11の領収書番号）</v>
      </c>
      <c r="B171" s="380"/>
    </row>
    <row r="172" spans="1:3" x14ac:dyDescent="0.45">
      <c r="A172" t="str">
        <f>IF(B121="","↓",IF(B121="いいえ","↓（物品購入費12の支出内容）",IF(B133="","↓（物品購入費12の支出内容）",IF(B133="はい","物品購入費12の支出内容","↓（物品購入費12の支出内容）"))))</f>
        <v>↓（物品購入費12の支出内容）</v>
      </c>
      <c r="B172" s="380" t="str">
        <f>IF(B140="はい", 収支予算書!J43,"")</f>
        <v/>
      </c>
      <c r="C172" t="str">
        <f>IF(B173="", "", IF(B173&gt;50000, "←1つの領収書で5万円を超える場合は請求書等の内訳を示すものの添付が必要です", ""))</f>
        <v/>
      </c>
    </row>
    <row r="173" spans="1:3" x14ac:dyDescent="0.45">
      <c r="A173" t="str">
        <f>IF(B121="","↓",IF(B121="いいえ","↓（物品購入費12の決算額（数字のみ記入））",IF(B133="","↓（物品購入費12の決算額（数字のみ記入））",IF(B133="はい","物品購入費12の決算額（数字のみ記入）","↓（物品購入費12の決算額（数字のみ記入））"))))</f>
        <v>↓（物品購入費12の決算額（数字のみ記入））</v>
      </c>
      <c r="B173" s="380" t="str">
        <f>IF(B133="はい", 収支予算書!J36,"")</f>
        <v/>
      </c>
      <c r="C173" t="s">
        <v>507</v>
      </c>
    </row>
    <row r="174" spans="1:3" x14ac:dyDescent="0.45">
      <c r="A174" t="str">
        <f>IF(B121="","↓",IF(B121="いいえ","↓（物品購入費12の領収書番号）",IF(B133="","↓（物品購入費12の領収書番号）",IF(B133="はい","物品購入費12の領収書番号","↓（物品購入費12の領収書番号）"))))</f>
        <v>↓（物品購入費12の領収書番号）</v>
      </c>
      <c r="B174" s="380"/>
    </row>
    <row r="175" spans="1:3" x14ac:dyDescent="0.45">
      <c r="A175" t="str">
        <f>IF(B121="","↓",IF(B121="いいえ","↓（物品購入費13の支出内容）",IF(B134="","↓（物品購入費13の支出内容）",IF(B134="はい","物品購入費13の支出内容","↓（物品購入費13の支出内容）"))))</f>
        <v>↓（物品購入費13の支出内容）</v>
      </c>
      <c r="B175" s="380" t="str">
        <f>IF(B134="はい", 収支予算書!G37,"")</f>
        <v/>
      </c>
      <c r="C175" t="str">
        <f>IF(B176="", "", IF(B176&gt;50000, "←1つの領収書で5万円を超える場合は請求書等の内訳を示すものの添付が必要です", ""))</f>
        <v/>
      </c>
    </row>
    <row r="176" spans="1:3" x14ac:dyDescent="0.45">
      <c r="A176" t="str">
        <f>IF(B121="","↓",IF(B121="いいえ","↓（物品購入費13の決算額（数字のみ記入））",IF(B134="","↓（物品購入費13の決算額（数字のみ記入））",IF(B134="はい","物品購入費13の決算額（数字のみ記入）","↓（物品購入費13の決算額（数字のみ記入））"))))</f>
        <v>↓（物品購入費13の決算額（数字のみ記入））</v>
      </c>
      <c r="B176" s="380" t="str">
        <f>IF(B136="はい", 収支予算書!J39,"")</f>
        <v/>
      </c>
      <c r="C176" t="s">
        <v>507</v>
      </c>
    </row>
    <row r="177" spans="1:3" x14ac:dyDescent="0.45">
      <c r="A177" t="str">
        <f>IF(B121="","↓",IF(B121="いいえ","↓（物品購入費13の領収書番号）",IF(B134="","↓（物品購入費13の領収書番号）",IF(B134="はい","物品購入費13の領収書番号","↓（物品購入費13の領収書番号）"))))</f>
        <v>↓（物品購入費13の領収書番号）</v>
      </c>
      <c r="B177" s="380"/>
    </row>
    <row r="178" spans="1:3" x14ac:dyDescent="0.45">
      <c r="A178" t="str">
        <f>IF(B121="","↓",IF(B121="いいえ","↓（物品購入費14の支出内容）",IF(B135="","↓（物品購入費14の支出内容）",IF(B135="はい","物品購入費14の支出内容","↓（物品購入費14の支出内容）"))))</f>
        <v>↓（物品購入費14の支出内容）</v>
      </c>
      <c r="B178" s="380" t="str">
        <f>IF(B135="はい", 収支予算書!G38,"")</f>
        <v/>
      </c>
      <c r="C178" t="str">
        <f>IF(B179="", "", IF(B179&gt;50000, "←1つの領収書で5万円を超える場合は請求書等の内訳を示すものの添付が必要です", ""))</f>
        <v/>
      </c>
    </row>
    <row r="179" spans="1:3" x14ac:dyDescent="0.45">
      <c r="A179" t="str">
        <f>IF(B121="","↓",IF(B121="いいえ","↓（物品購入費14の決算額（数字のみ記入））",IF(B135="","↓（物品購入費14の決算額（数字のみ記入））",IF(B135="はい","物品購入費14の決算額（数字のみ記入）","↓（物品購入費14の決算額（数字のみ記入））"))))</f>
        <v>↓（物品購入費14の決算額（数字のみ記入））</v>
      </c>
      <c r="B179" s="380" t="str">
        <f>IF(B135="はい", 収支予算書!J38,"")</f>
        <v/>
      </c>
      <c r="C179" t="s">
        <v>507</v>
      </c>
    </row>
    <row r="180" spans="1:3" x14ac:dyDescent="0.45">
      <c r="A180" t="str">
        <f>IF(B121="","↓",IF(B121="いいえ","↓（物品購入費14の領収書番号）",IF(B135="","↓（物品購入費14の領収書番号）",IF(B135="はい","物品購入費14の領収書番号","↓（物品購入費14の領収書番号）"))))</f>
        <v>↓（物品購入費14の領収書番号）</v>
      </c>
      <c r="B180" s="380"/>
    </row>
    <row r="181" spans="1:3" x14ac:dyDescent="0.45">
      <c r="A181" t="str">
        <f>IF(B121="","↓",IF(B121="いいえ","↓（物品購入費15の支出内容）",IF(B136="","↓（物品購入費15の支出内容）",IF(B136="はい","物品購入費15の支出内容","↓（物品購入費15の支出内容）"))))</f>
        <v>↓（物品購入費15の支出内容）</v>
      </c>
      <c r="B181" s="380" t="str">
        <f>IF(B136="はい", 収支予算書!G39,"")</f>
        <v/>
      </c>
      <c r="C181" t="str">
        <f>IF(B182="", "", IF(B182&gt;50000, "←1つの領収書で5万円を超える場合は請求書等の内訳を示すものの添付が必要です", ""))</f>
        <v/>
      </c>
    </row>
    <row r="182" spans="1:3" x14ac:dyDescent="0.45">
      <c r="A182" t="str">
        <f>IF(B121="","↓",IF(B121="いいえ","↓（物品購入費15の決算額（数字のみ記入））",IF(B136="","↓（物品購入費15の決算額（数字のみ記入））",IF(B136="はい","物品購入費15の決算額（数字のみ記入）","↓（物品購入費15の決算額（数字のみ記入））"))))</f>
        <v>↓（物品購入費15の決算額（数字のみ記入））</v>
      </c>
      <c r="B182" s="380" t="str">
        <f>IF(B136="はい", 収支予算書!J39,"")</f>
        <v/>
      </c>
      <c r="C182" t="s">
        <v>507</v>
      </c>
    </row>
    <row r="183" spans="1:3" x14ac:dyDescent="0.45">
      <c r="A183" t="str">
        <f>IF(B121="","↓",IF(B121="いいえ","↓（物品購入費15の領収書番号）",IF(B136="","↓（物品購入費15の領収書番号）",IF(B136="はい","物品購入費15の領収書番号","↓（物品購入費15の領収書番号）"))))</f>
        <v>↓（物品購入費15の領収書番号）</v>
      </c>
      <c r="B183" s="380"/>
    </row>
    <row r="184" spans="1:3" x14ac:dyDescent="0.45">
      <c r="A184" t="str">
        <f>IF(B121="","↓",IF(B121="いいえ","↓（物品購入費16の支出内容）",IF(B137="","↓（物品購入費16の支出内容）",IF(B137="はい","物品購入費16の支出内容","↓（物品購入費16の支出内容）"))))</f>
        <v>↓（物品購入費16の支出内容）</v>
      </c>
      <c r="B184" s="380" t="str">
        <f>IF(B137="はい", 収支予算書!G40,"")</f>
        <v/>
      </c>
      <c r="C184" t="str">
        <f>IF(B185="", "", IF(B185&gt;50000, "←1つの領収書で5万円を超える場合は請求書等の内訳を示すものの添付が必要です", ""))</f>
        <v/>
      </c>
    </row>
    <row r="185" spans="1:3" x14ac:dyDescent="0.45">
      <c r="A185" t="str">
        <f>IF(B121="","↓",IF(B121="いいえ","↓（物品購入費16の決算額（数字のみ記入））",IF(B137="","↓（物品購入費16の決算額（数字のみ記入））",IF(B137="はい","物品購入費16の決算額（数字のみ記入）","↓（物品購入費16の決算額（数字のみ記入））"))))</f>
        <v>↓（物品購入費16の決算額（数字のみ記入））</v>
      </c>
      <c r="B185" s="380" t="str">
        <f>IF(B137="はい", 収支予算書!J40,"")</f>
        <v/>
      </c>
      <c r="C185" t="s">
        <v>507</v>
      </c>
    </row>
    <row r="186" spans="1:3" x14ac:dyDescent="0.45">
      <c r="A186" t="str">
        <f>IF(B121="","↓",IF(B121="いいえ","↓（物品購入費16の領収書番号）",IF(B137="","↓（物品購入費16の領収書番号）",IF(B137="はい","物品購入費16の領収書番号","↓（物品購入費16の領収書番号）"))))</f>
        <v>↓（物品購入費16の領収書番号）</v>
      </c>
      <c r="B186" s="380"/>
    </row>
    <row r="187" spans="1:3" x14ac:dyDescent="0.45">
      <c r="A187" t="str">
        <f>IF(B121="","↓",IF(B121="いいえ","↓（物品購入費17の支出内容）",IF(B138="","↓（物品購入費17の支出内容）",IF(B138="はい","物品購入費17の支出内容","↓（物品購入費17の支出内容）"))))</f>
        <v>↓（物品購入費17の支出内容）</v>
      </c>
      <c r="B187" s="380" t="str">
        <f>IF(B138="はい", 収支予算書!G41,"")</f>
        <v/>
      </c>
      <c r="C187" t="str">
        <f>IF(B188="", "", IF(B188&gt;50000, "←1つの領収書で5万円を超える場合は請求書等の内訳を示すものの添付が必要です", ""))</f>
        <v/>
      </c>
    </row>
    <row r="188" spans="1:3" x14ac:dyDescent="0.45">
      <c r="A188" t="str">
        <f>IF(B121="","↓",IF(B121="いいえ","↓（物品購入費17の決算額（数字のみ記入））",IF(B138="","↓（物品購入費17の決算額（数字のみ記入））",IF(B138="はい","物品購入費17の決算額（数字のみ記入）","↓（物品購入費17の決算額（数字のみ記入））"))))</f>
        <v>↓（物品購入費17の決算額（数字のみ記入））</v>
      </c>
      <c r="B188" s="380" t="str">
        <f>IF(B138="はい", 収支予算書!J41,"")</f>
        <v/>
      </c>
      <c r="C188" t="s">
        <v>507</v>
      </c>
    </row>
    <row r="189" spans="1:3" x14ac:dyDescent="0.45">
      <c r="A189" t="str">
        <f>IF(B121="","↓",IF(B121="いいえ","↓（物品購入費17の領収書番号）",IF(B138="","↓（物品購入費17の領収書番号）",IF(B138="はい","物品購入費17の領収書番号","↓（物品購入費17の領収書番号）"))))</f>
        <v>↓（物品購入費17の領収書番号）</v>
      </c>
      <c r="B189" s="380"/>
    </row>
    <row r="190" spans="1:3" x14ac:dyDescent="0.45">
      <c r="A190" t="s">
        <v>359</v>
      </c>
      <c r="B190" s="380" t="s">
        <v>625</v>
      </c>
      <c r="C190" t="s">
        <v>98</v>
      </c>
    </row>
    <row r="191" spans="1:3" ht="37.799999999999997" customHeight="1" x14ac:dyDescent="0.45">
      <c r="A191" s="119" t="str">
        <f>IF(B190="はい",IF(入力フォーム!B305="","↓", "収支予算書に計上された「"&amp;入力フォーム!B305&amp;"」の支出はありますか"),IF(B190="いいえ","↓","↓"))</f>
        <v>↓</v>
      </c>
      <c r="B191" s="380"/>
      <c r="C191" t="s">
        <v>98</v>
      </c>
    </row>
    <row r="192" spans="1:3" ht="37.799999999999997" customHeight="1" x14ac:dyDescent="0.45">
      <c r="A192" s="119" t="str">
        <f>IF(B190="はい",IF(入力フォーム!B308="","↓", "収支予算書に計上された「"&amp;入力フォーム!B308&amp;"」の支出はありますか"),IF(B190="いいえ","↓","↓"))</f>
        <v>↓</v>
      </c>
      <c r="B192" s="380"/>
      <c r="C192" t="s">
        <v>98</v>
      </c>
    </row>
    <row r="193" spans="1:3" ht="37.799999999999997" customHeight="1" x14ac:dyDescent="0.45">
      <c r="A193" s="119" t="str">
        <f>IF(B190="はい",IF(入力フォーム!B311="","↓", "収支予算書に計上された「"&amp;入力フォーム!B311&amp;"」の支出はありますか"),IF(B190="いいえ","↓","↓"))</f>
        <v>↓</v>
      </c>
      <c r="B193" s="380"/>
      <c r="C193" t="s">
        <v>98</v>
      </c>
    </row>
    <row r="194" spans="1:3" ht="37.799999999999997" customHeight="1" x14ac:dyDescent="0.45">
      <c r="A194" s="119" t="str">
        <f>IF(B190="はい",IF(入力フォーム!B314="","↓", "収支予算書に計上された「"&amp;入力フォーム!B314&amp;"」の支出はありますか"),IF(B190="いいえ","↓","↓"))</f>
        <v>↓</v>
      </c>
      <c r="B194" s="380"/>
      <c r="C194" t="s">
        <v>98</v>
      </c>
    </row>
    <row r="195" spans="1:3" x14ac:dyDescent="0.45">
      <c r="A195" s="16" t="str">
        <f>IF(B190="","↓",IF(B190="いいえ","↓（印刷経費１の支出内容）",IF(B191="","↓（印刷経費１の支出内容）",IF(B191="はい","印刷経費１の支出内容（例：周知用ポスターの印刷150部)","↓（印刷経費１の支出内容）"))))</f>
        <v>↓（印刷経費１の支出内容）</v>
      </c>
      <c r="B195" s="380" t="str">
        <f>IF(B191="はい", 収支予算書!G42,"")</f>
        <v/>
      </c>
      <c r="C195" t="str">
        <f>IF(B196="", "", IF(B196&gt;50000, "←1つの領収書で5万円を超える場合は請求書等の内訳を示すものの添付が必要です", ""))</f>
        <v/>
      </c>
    </row>
    <row r="196" spans="1:3" x14ac:dyDescent="0.45">
      <c r="A196" t="str">
        <f>IF(B190="","↓",IF(B190="いいえ","↓（印刷経費１の決算額（数字のみ記入））",IF(B191="","↓（印刷経費１の決算額（数字のみ記入））",IF(B191="はい","印刷経費１の決算額（数字のみ記入）","↓（印刷経費１の決算額（数字のみ記入））"))))</f>
        <v>↓（印刷経費１の決算額（数字のみ記入））</v>
      </c>
      <c r="B196" s="380" t="str">
        <f>IF(B191="はい", 収支予算書!J42,"")</f>
        <v/>
      </c>
      <c r="C196" t="s">
        <v>507</v>
      </c>
    </row>
    <row r="197" spans="1:3" x14ac:dyDescent="0.45">
      <c r="A197" t="str">
        <f>IF(B190="","↓",IF(B190="いいえ","↓（印刷経費１の領収書番号）",IF(B191="","↓（印刷経費１の領収書番号）",IF(B191="はい","印刷経費１の領収書番号","↓（印刷経費１の領収書番号）"))))</f>
        <v>↓（印刷経費１の領収書番号）</v>
      </c>
      <c r="B197" s="380"/>
    </row>
    <row r="198" spans="1:3" x14ac:dyDescent="0.45">
      <c r="A198" t="str">
        <f>IF(B190="","↓",IF(B190="いいえ","↓（印刷経費２の支出内容）",IF(B192="","↓（印刷経費２の支出内容）",IF(B192="はい","印刷経費２の支出内容","↓（印刷経費２の支出内容）"))))</f>
        <v>↓（印刷経費２の支出内容）</v>
      </c>
      <c r="B198" s="380" t="str">
        <f>IF(B192="はい", 収支予算書!G43,"")</f>
        <v/>
      </c>
      <c r="C198" t="str">
        <f>IF(B199="", "", IF(B199&gt;50000, "←1つの領収書で5万円を超える場合は請求書等の内訳を示すものの添付が必要です", ""))</f>
        <v/>
      </c>
    </row>
    <row r="199" spans="1:3" x14ac:dyDescent="0.45">
      <c r="A199" t="str">
        <f>IF(B190="","↓",IF(B190="いいえ","↓（印刷経費２の決算額（数字のみ記入））",IF(B192="","↓（印刷経費２の決算額（数字のみ記入））",IF(B192="はい","印刷経費２の決算額（数字のみ記入）","↓（印刷経費２の決算額（数字のみ記入））"))))</f>
        <v>↓（印刷経費２の決算額（数字のみ記入））</v>
      </c>
      <c r="B199" s="380" t="str">
        <f>IF(B192="はい", 収支予算書!J43,"")</f>
        <v/>
      </c>
      <c r="C199" t="s">
        <v>507</v>
      </c>
    </row>
    <row r="200" spans="1:3" x14ac:dyDescent="0.45">
      <c r="A200" t="str">
        <f>IF(B190="","↓",IF(B190="いいえ","↓（印刷経費２の領収書番号）",IF(B192="","↓（印刷経費２の領収書番号）",IF(B192="はい","印刷経費２の領収書番号","↓（印刷経費２の領収書番号）"))))</f>
        <v>↓（印刷経費２の領収書番号）</v>
      </c>
      <c r="B200" s="380"/>
    </row>
    <row r="201" spans="1:3" x14ac:dyDescent="0.45">
      <c r="A201" t="str">
        <f>IF(B190="","↓",IF(B190="いいえ","↓（印刷経費３の支出内容）",IF(B193="","↓（印刷経費３の支出内容）",IF(B193="はい","印刷経費３の支出内容","↓（印刷経費３の支出内容）"))))</f>
        <v>↓（印刷経費３の支出内容）</v>
      </c>
      <c r="B201" s="380" t="str">
        <f>IF(B193="はい", 収支予算書!G44,"")</f>
        <v/>
      </c>
      <c r="C201" t="str">
        <f>IF(B202="", "", IF(B202&gt;50000, "←1つの領収書で5万円を超える場合は請求書等の内訳を示すものの添付が必要です", ""))</f>
        <v/>
      </c>
    </row>
    <row r="202" spans="1:3" x14ac:dyDescent="0.45">
      <c r="A202" t="str">
        <f>IF(B190="","↓",IF(B190="いいえ","↓（印刷経費３の決算額（数字のみ記入））",IF(B193="","↓（印刷経費３の決算額（数字のみ記入））",IF(B193="はい","印刷経費３の決算額（数字のみ記入）","↓（印刷経費３の決算額（数字のみ記入））"))))</f>
        <v>↓（印刷経費３の決算額（数字のみ記入））</v>
      </c>
      <c r="B202" s="380" t="str">
        <f>IF(B193="はい", 収支予算書!J44,"")</f>
        <v/>
      </c>
      <c r="C202" t="s">
        <v>507</v>
      </c>
    </row>
    <row r="203" spans="1:3" x14ac:dyDescent="0.45">
      <c r="A203" t="str">
        <f>IF(B190="","↓",IF(B190="いいえ","↓（印刷経費３の領収書番号）",IF(B193="","↓（印刷経費３の領収書番号）",IF(B193="はい","印刷経費３の領収書番号","↓（印刷経費３の領収書番号）"))))</f>
        <v>↓（印刷経費３の領収書番号）</v>
      </c>
      <c r="B203" s="380"/>
    </row>
    <row r="204" spans="1:3" x14ac:dyDescent="0.45">
      <c r="A204" t="str">
        <f>IF(B190="","↓",IF(B190="いいえ","↓（印刷経費４の支出内容）",IF(B194="","↓（印刷経費４の支出内容）",IF(B194="はい","印刷経費４の支出内容","↓（印刷経費４の支出内容）"))))</f>
        <v>↓（印刷経費４の支出内容）</v>
      </c>
      <c r="B204" s="380" t="str">
        <f>IF(B194="はい", 収支予算書!G45,"")</f>
        <v/>
      </c>
      <c r="C204" t="str">
        <f>IF(B205="", "", IF(B205&gt;50000, "←1つの領収書で5万円を超える場合は請求書等の内訳を示すものの添付が必要です", ""))</f>
        <v/>
      </c>
    </row>
    <row r="205" spans="1:3" x14ac:dyDescent="0.45">
      <c r="A205" t="str">
        <f>IF(B190="","↓",IF(B190="いいえ","↓（印刷経費４の決算額（数字のみ記入））",IF(B194="","↓（印刷経費４の決算額（数字のみ記入））",IF(B194="はい","印刷経費４の決算額（数字のみ記入）","↓（印刷経費４の決算額（数字のみ記入））"))))</f>
        <v>↓（印刷経費４の決算額（数字のみ記入））</v>
      </c>
      <c r="B205" s="380" t="str">
        <f>IF(B194="はい", 収支予算書!J45,"")</f>
        <v/>
      </c>
      <c r="C205" t="s">
        <v>507</v>
      </c>
    </row>
    <row r="206" spans="1:3" x14ac:dyDescent="0.45">
      <c r="A206" t="str">
        <f>IF(B190="","↓",IF(B190="いいえ","↓（印刷経費４の領収書番号）",IF(B194="","↓（印刷経費４の領収書番号）",IF(B194="はい","印刷経費４の領収書番号","↓（印刷経費４の領収書番号）"))))</f>
        <v>↓（印刷経費４の領収書番号）</v>
      </c>
      <c r="B206" s="380"/>
    </row>
    <row r="207" spans="1:3" x14ac:dyDescent="0.45">
      <c r="A207" t="s">
        <v>360</v>
      </c>
      <c r="B207" s="380" t="s">
        <v>625</v>
      </c>
      <c r="C207" t="s">
        <v>98</v>
      </c>
    </row>
    <row r="208" spans="1:3" ht="37.799999999999997" customHeight="1" x14ac:dyDescent="0.45">
      <c r="A208" s="119" t="str">
        <f>IF(B207="はい",IF(入力フォーム!B318="","↓", "収支予算書に計上された「"&amp;入力フォーム!B318&amp;"」の支出はありますか"),IF(B207="いいえ","↓","↓"))</f>
        <v>↓</v>
      </c>
      <c r="B208" s="380"/>
      <c r="C208" t="s">
        <v>98</v>
      </c>
    </row>
    <row r="209" spans="1:3" ht="37.799999999999997" customHeight="1" x14ac:dyDescent="0.45">
      <c r="A209" s="119" t="str">
        <f>IF(B207="はい",IF(入力フォーム!B321="","↓", "収支予算書に計上された「"&amp;入力フォーム!B321&amp;"」の支出はありますか"),IF(B207="いいえ","↓","↓"))</f>
        <v>↓</v>
      </c>
      <c r="B209" s="380"/>
      <c r="C209" t="s">
        <v>98</v>
      </c>
    </row>
    <row r="210" spans="1:3" ht="37.799999999999997" customHeight="1" x14ac:dyDescent="0.45">
      <c r="A210" s="119" t="str">
        <f>IF(B207="はい",IF(入力フォーム!B324="","↓", "収支予算書に計上された「"&amp;入力フォーム!B324&amp;"」の支出はありますか"),IF(B207="いいえ","↓","↓"))</f>
        <v>↓</v>
      </c>
      <c r="B210" s="380"/>
      <c r="C210" t="s">
        <v>98</v>
      </c>
    </row>
    <row r="211" spans="1:3" ht="37.799999999999997" customHeight="1" x14ac:dyDescent="0.45">
      <c r="A211" s="119" t="str">
        <f>IF(B207="はい",IF(入力フォーム!B327="","↓", "収支予算書に計上された「"&amp;入力フォーム!B327&amp;"」の支出はありますか"),IF(B207="いいえ","↓","↓"))</f>
        <v>↓</v>
      </c>
      <c r="B211" s="380"/>
      <c r="C211" t="s">
        <v>98</v>
      </c>
    </row>
    <row r="212" spans="1:3" x14ac:dyDescent="0.45">
      <c r="A212" s="16" t="str">
        <f>IF(B207="","↓",IF(B207="いいえ","↓（役務費１の支出内容）",IF(B208="","↓（役務費１の支出内容）",IF(B208="はい","役務費１の支出内容（例：イベント保険料（200人分）)","↓（役務費１の支出内容）"))))</f>
        <v>↓（役務費１の支出内容）</v>
      </c>
      <c r="B212" s="380" t="str">
        <f>IF(B208="はい", 収支予算書!G46,"")</f>
        <v/>
      </c>
      <c r="C212" t="str">
        <f>IF(B213="", "", IF(B213&gt;50000, "←1つの領収書で5万円を超える場合は請求書等の内訳を示すものの添付が必要です", ""))</f>
        <v/>
      </c>
    </row>
    <row r="213" spans="1:3" x14ac:dyDescent="0.45">
      <c r="A213" t="str">
        <f>IF(B207="","↓",IF(B207="いいえ","↓（役務費１の決算額（数字のみ記入））",IF(B208="","↓（役務費１の決算額（数字のみ記入））",IF(B208="はい","役務費１の決算額（数字のみ記入）","↓（役務費１の決算額（数字のみ記入））"))))</f>
        <v>↓（役務費１の決算額（数字のみ記入））</v>
      </c>
      <c r="B213" s="380" t="str">
        <f>IF(B208="はい", 収支予算書!J46,"")</f>
        <v/>
      </c>
      <c r="C213" t="s">
        <v>507</v>
      </c>
    </row>
    <row r="214" spans="1:3" x14ac:dyDescent="0.45">
      <c r="A214" t="str">
        <f>IF(B207="","↓",IF(B207="いいえ","↓（役務費１の領収書番号）",IF(B208="","↓（役務費１の領収書番号）",IF(B208="はい","役務費１の領収書番号","↓（役務費１の領収書番号）"))))</f>
        <v>↓（役務費１の領収書番号）</v>
      </c>
      <c r="B214" s="380"/>
    </row>
    <row r="215" spans="1:3" x14ac:dyDescent="0.45">
      <c r="A215" t="str">
        <f>IF(B207="","↓",IF(B207="いいえ","↓（役務費２の支出内容）",IF(B209="","↓（役務費２の支出内容）",IF(B209="はい","役務費２の支出内容","↓（役務費２の支出内容）"))))</f>
        <v>↓（役務費２の支出内容）</v>
      </c>
      <c r="B215" s="380" t="str">
        <f>IF(B209="はい", 収支予算書!G47,"")</f>
        <v/>
      </c>
      <c r="C215" t="str">
        <f>IF(B216="", "", IF(B216&gt;50000, "←1つの領収書で5万円を超える場合は請求書等の内訳を示すものの添付が必要です", ""))</f>
        <v/>
      </c>
    </row>
    <row r="216" spans="1:3" x14ac:dyDescent="0.45">
      <c r="A216" t="str">
        <f>IF(B207="","↓",IF(B207="いいえ","↓（役務費２の決算額（数字のみ記入））",IF(B209="","↓（役務費２の決算額（数字のみ記入））",IF(B209="はい","役務費２の決算額（数字のみ記入）","↓（役務費２の決算額（数字のみ記入））"))))</f>
        <v>↓（役務費２の決算額（数字のみ記入））</v>
      </c>
      <c r="B216" s="380" t="str">
        <f>IF(B209="はい", 収支予算書!J47,"")</f>
        <v/>
      </c>
      <c r="C216" t="s">
        <v>507</v>
      </c>
    </row>
    <row r="217" spans="1:3" x14ac:dyDescent="0.45">
      <c r="A217" t="str">
        <f>IF(B207="","↓",IF(B207="いいえ","↓（役務費２の領収書番号）",IF(B209="","↓（役務費２の領収書番号）",IF(B209="はい","役務費２の領収書番号","↓（役務費２の領収書番号）"))))</f>
        <v>↓（役務費２の領収書番号）</v>
      </c>
      <c r="B217" s="380"/>
    </row>
    <row r="218" spans="1:3" x14ac:dyDescent="0.45">
      <c r="A218" t="str">
        <f>IF(B207="","↓",IF(B207="いいえ","↓（役務費３の支出内容）",IF(B210="","↓（役務費３の支出内容）",IF(B210="はい","役務費３の支出内容","↓（役務費３の支出内容）"))))</f>
        <v>↓（役務費３の支出内容）</v>
      </c>
      <c r="B218" s="380" t="str">
        <f>IF(B210="はい", 収支予算書!G48,"")</f>
        <v/>
      </c>
      <c r="C218" t="str">
        <f>IF(B219="", "", IF(B219&gt;50000, "←1つの領収書で5万円を超える場合は請求書等の内訳を示すものの添付が必要です", ""))</f>
        <v/>
      </c>
    </row>
    <row r="219" spans="1:3" x14ac:dyDescent="0.45">
      <c r="A219" t="str">
        <f>IF(B207="","↓",IF(B207="いいえ","↓（役務費３の決算額（数字のみ記入））",IF(B210="","↓（役務費３の決算額（数字のみ記入））",IF(B210="はい","役務費３の決算額（数字のみ記入）","↓（役務費３の決算額（数字のみ記入））"))))</f>
        <v>↓（役務費３の決算額（数字のみ記入））</v>
      </c>
      <c r="B219" s="380" t="str">
        <f>IF(B210="はい", 収支予算書!J48,"")</f>
        <v/>
      </c>
      <c r="C219" t="s">
        <v>507</v>
      </c>
    </row>
    <row r="220" spans="1:3" x14ac:dyDescent="0.45">
      <c r="A220" t="str">
        <f>IF(B207="","↓",IF(B207="いいえ","↓（役務費３の領収書番号）",IF(B210="","↓（役務費３の領収書番号）",IF(B210="はい","役務費３の領収書番号","↓（役務費３の領収書番号）"))))</f>
        <v>↓（役務費３の領収書番号）</v>
      </c>
      <c r="B220" s="380"/>
    </row>
    <row r="221" spans="1:3" x14ac:dyDescent="0.45">
      <c r="A221" t="str">
        <f>IF(B207="","↓",IF(B207="いいえ","↓（役務費４の支出内容）",IF(B211="","↓（役務費４の支出内容）",IF(B211="はい","役務費４の支出内容","↓（役務費４の支出内容）"))))</f>
        <v>↓（役務費４の支出内容）</v>
      </c>
      <c r="B221" s="380" t="str">
        <f>IF(B211="はい", 収支予算書!G49,"")</f>
        <v/>
      </c>
      <c r="C221" t="str">
        <f>IF(B222="", "", IF(B222&gt;50000, "←1つの領収書で5万円を超える場合は請求書等の内訳を示すものの添付が必要です", ""))</f>
        <v/>
      </c>
    </row>
    <row r="222" spans="1:3" x14ac:dyDescent="0.45">
      <c r="A222" t="str">
        <f>IF(B207="","↓",IF(B207="いいえ","↓（役務費４の決算額（数字のみ記入））",IF(B211="","↓（役務費４の決算額（数字のみ記入））",IF(B211="はい","役務費４の決算額（数字のみ記入）","↓（役務費４の決算額（数字のみ記入））"))))</f>
        <v>↓（役務費４の決算額（数字のみ記入））</v>
      </c>
      <c r="B222" s="380" t="str">
        <f>IF(B211="はい", 収支予算書!J49,"")</f>
        <v/>
      </c>
      <c r="C222" t="s">
        <v>507</v>
      </c>
    </row>
    <row r="223" spans="1:3" x14ac:dyDescent="0.45">
      <c r="A223" t="str">
        <f>IF(B207="","↓",IF(B207="いいえ","↓（役務費４の領収書番号）",IF(B211="","↓（役務費４の領収書番号）",IF(B211="はい","役務費４の領収書番号","↓（役務費４の領収書番号）"))))</f>
        <v>↓（役務費４の領収書番号）</v>
      </c>
      <c r="B223" s="380"/>
    </row>
    <row r="224" spans="1:3" x14ac:dyDescent="0.45">
      <c r="A224" t="s">
        <v>361</v>
      </c>
      <c r="B224" s="380" t="s">
        <v>625</v>
      </c>
      <c r="C224" t="s">
        <v>98</v>
      </c>
    </row>
    <row r="225" spans="1:3" ht="37.799999999999997" customHeight="1" x14ac:dyDescent="0.45">
      <c r="A225" s="119" t="str">
        <f>IF(B224="はい",IF(入力フォーム!B331="","↓", "収支予算書に計上された「"&amp;入力フォーム!B331&amp;"」の支出はありますか"),IF(B224="いいえ","↓","↓"))</f>
        <v>↓</v>
      </c>
      <c r="B225" s="380"/>
      <c r="C225" t="s">
        <v>98</v>
      </c>
    </row>
    <row r="226" spans="1:3" ht="37.799999999999997" customHeight="1" x14ac:dyDescent="0.45">
      <c r="A226" s="119" t="str">
        <f>IF(B224="はい",IF(入力フォーム!B334="","↓", "収支予算書に計上された「"&amp;入力フォーム!B334&amp;"」の支出はありますか"),IF(B224="いいえ","↓","↓"))</f>
        <v>↓</v>
      </c>
      <c r="B226" s="380"/>
      <c r="C226" t="s">
        <v>98</v>
      </c>
    </row>
    <row r="227" spans="1:3" ht="37.799999999999997" customHeight="1" x14ac:dyDescent="0.45">
      <c r="A227" s="119" t="str">
        <f>IF(B224="はい",IF(入力フォーム!B337="","↓", "収支予算書に計上された「"&amp;入力フォーム!B337&amp;"」の支出はありますか"),IF(B224="いいえ","↓","↓"))</f>
        <v>↓</v>
      </c>
      <c r="B227" s="380"/>
      <c r="C227" t="s">
        <v>98</v>
      </c>
    </row>
    <row r="228" spans="1:3" ht="37.799999999999997" customHeight="1" x14ac:dyDescent="0.45">
      <c r="A228" s="119" t="str">
        <f>IF(B224="はい",IF(入力フォーム!B340="","↓", "収支予算書に計上された「"&amp;入力フォーム!B340&amp;"」の支出はありますか"),IF(B224="いいえ","↓","↓"))</f>
        <v>↓</v>
      </c>
      <c r="B228" s="380"/>
      <c r="C228" t="s">
        <v>98</v>
      </c>
    </row>
    <row r="229" spans="1:3" x14ac:dyDescent="0.45">
      <c r="A229" s="16" t="str">
        <f>IF(B224="","↓",IF(B224="いいえ","↓（委託料１の支出内容）",IF(B225="","↓（委託料１の支出内容）",IF(B225="はい","委託料１の支出内容（例：盆踊り用やぐら設営・撤去）)","↓（委託料１の支出内容）"))))</f>
        <v>↓（委託料１の支出内容）</v>
      </c>
      <c r="B229" s="380" t="str">
        <f>IF(B225="はい", 収支予算書!G50,"")</f>
        <v/>
      </c>
      <c r="C229" t="str">
        <f>IF(B230="", "", IF(B230&gt;50000, "←1つの領収書で5万円を超える場合は請求書等の内訳を示すものの添付が必要です", ""))</f>
        <v/>
      </c>
    </row>
    <row r="230" spans="1:3" x14ac:dyDescent="0.45">
      <c r="A230" t="str">
        <f>IF(B224="","↓",IF(B224="いいえ","↓（委託料１の決算額（数字のみ記入））",IF(B225="","↓（委託料１の決算額（数字のみ記入））",IF(B225="はい","委託料１の決算額（数字のみ記入）","↓（委託料１の決算額（数字のみ記入））"))))</f>
        <v>↓（委託料１の決算額（数字のみ記入））</v>
      </c>
      <c r="B230" s="380" t="str">
        <f>IF(B225="はい", 収支予算書!J50,"")</f>
        <v/>
      </c>
      <c r="C230" t="s">
        <v>507</v>
      </c>
    </row>
    <row r="231" spans="1:3" x14ac:dyDescent="0.45">
      <c r="A231" t="str">
        <f>IF(B224="","↓",IF(B224="いいえ","↓（委託料１の領収書番号）",IF(B225="","↓（委託料１の領収書番号）",IF(B225="はい","委託料１の領収書番号","↓（委託料１の領収書番号）"))))</f>
        <v>↓（委託料１の領収書番号）</v>
      </c>
      <c r="B231" s="380"/>
    </row>
    <row r="232" spans="1:3" x14ac:dyDescent="0.45">
      <c r="A232" t="str">
        <f>IF(B224="","↓",IF(B224="いいえ","↓（委託料２の支出内容）",IF(B226="","↓（委託料２の支出内容）",IF(B226="はい","委託料２の支出内容","↓（委託料２の支出内容）"))))</f>
        <v>↓（委託料２の支出内容）</v>
      </c>
      <c r="B232" s="380" t="str">
        <f>IF(B226="はい", 収支予算書!G51,"")</f>
        <v/>
      </c>
      <c r="C232" t="str">
        <f>IF(B233="", "", IF(B233&gt;50000, "←1つの領収書で5万円を超える場合は請求書等の内訳を示すものの添付が必要です", ""))</f>
        <v/>
      </c>
    </row>
    <row r="233" spans="1:3" x14ac:dyDescent="0.45">
      <c r="A233" t="str">
        <f>IF(B224="","↓",IF(B224="いいえ","↓（委託料２の決算額（数字のみ記入））",IF(B226="","↓（委託料２の決算額（数字のみ記入））",IF(B226="はい","委託料２の決算額（数字のみ記入）","↓（委託料２の決算額（数字のみ記入））"))))</f>
        <v>↓（委託料２の決算額（数字のみ記入））</v>
      </c>
      <c r="B233" s="380" t="str">
        <f>IF(B226="はい", 収支予算書!J51,"")</f>
        <v/>
      </c>
      <c r="C233" t="s">
        <v>507</v>
      </c>
    </row>
    <row r="234" spans="1:3" x14ac:dyDescent="0.45">
      <c r="A234" t="str">
        <f>IF(B224="","↓",IF(B224="いいえ","↓（委託料２の領収書番号）",IF(B226="","↓（委託料２の領収書番号）",IF(B226="はい","委託料２の領収書番号","↓（委託料２の領収書番号）"))))</f>
        <v>↓（委託料２の領収書番号）</v>
      </c>
      <c r="B234" s="380"/>
    </row>
    <row r="235" spans="1:3" x14ac:dyDescent="0.45">
      <c r="A235" t="str">
        <f>IF(B224="","↓",IF(B224="いいえ","↓（委託料３の支出内容）",IF(B227="","↓（委託料３の支出内容）",IF(B227="はい","委託料３の支出内容","↓（委託料３の支出内容）"))))</f>
        <v>↓（委託料３の支出内容）</v>
      </c>
      <c r="B235" s="380" t="str">
        <f>IF(B227="はい", 収支予算書!G52,"")</f>
        <v/>
      </c>
      <c r="C235" t="str">
        <f>IF(B236="", "", IF(B236&gt;50000, "←1つの領収書で5万円を超える場合は請求書等の内訳を示すものの添付が必要です", ""))</f>
        <v/>
      </c>
    </row>
    <row r="236" spans="1:3" x14ac:dyDescent="0.45">
      <c r="A236" t="str">
        <f>IF(B224="","↓",IF(B224="いいえ","↓（委託料３の決算額（数字のみ記入））",IF(B227="","↓（委託料３の決算額（数字のみ記入））",IF(B227="はい","委託料３の決算額（数字のみ記入）","↓（委託料３の決算額（数字のみ記入））"))))</f>
        <v>↓（委託料３の決算額（数字のみ記入））</v>
      </c>
      <c r="B236" s="380" t="str">
        <f>IF(B227="はい", 収支予算書!J52,"")</f>
        <v/>
      </c>
      <c r="C236" t="s">
        <v>507</v>
      </c>
    </row>
    <row r="237" spans="1:3" x14ac:dyDescent="0.45">
      <c r="A237" t="str">
        <f>IF(B224="","↓",IF(B224="いいえ","↓（委託料３の領収書番号）",IF(B227="","↓（委託料３の領収書番号）",IF(B227="はい","委託料３の領収書番号","↓（委託料３の領収書番号）"))))</f>
        <v>↓（委託料３の領収書番号）</v>
      </c>
      <c r="B237" s="380"/>
    </row>
    <row r="238" spans="1:3" x14ac:dyDescent="0.45">
      <c r="A238" t="str">
        <f>IF(B224="","↓",IF(B224="いいえ","↓（委託料４の支出内容）",IF(B228="","↓（委託料４の支出内容）",IF(B228="はい","委託料４の支出内容","↓（委託料４の支出内容）"))))</f>
        <v>↓（委託料４の支出内容）</v>
      </c>
      <c r="B238" s="380" t="str">
        <f>IF(B228="はい", 収支予算書!G53,"")</f>
        <v/>
      </c>
      <c r="C238" t="str">
        <f>IF(B239="", "", IF(B239&gt;50000, "←1つの領収書で5万円を超える場合は請求書等の内訳を示すものの添付が必要です", ""))</f>
        <v/>
      </c>
    </row>
    <row r="239" spans="1:3" x14ac:dyDescent="0.45">
      <c r="A239" t="str">
        <f>IF(B224="","↓",IF(B224="いいえ","↓（委託料４の決算額（数字のみ記入））",IF(B228="","↓（委託料４の決算額（数字のみ記入））",IF(B228="はい","委託料４の決算額（数字のみ記入）","↓（委託料４の決算額（数字のみ記入））"))))</f>
        <v>↓（委託料４の決算額（数字のみ記入））</v>
      </c>
      <c r="B239" s="380" t="str">
        <f>IF(B228="はい", 収支予算書!J53,"")</f>
        <v/>
      </c>
      <c r="C239" t="s">
        <v>507</v>
      </c>
    </row>
    <row r="240" spans="1:3" x14ac:dyDescent="0.45">
      <c r="A240" t="str">
        <f>IF(B224="","↓",IF(B224="いいえ","↓（委託料４の領収書番号）",IF(B228="","↓（委託料４の領収書番号）",IF(B228="はい","委託料４の領収書番号","↓（委託料４の領収書番号）"))))</f>
        <v>↓（委託料４の領収書番号）</v>
      </c>
      <c r="B240" s="380"/>
    </row>
    <row r="241" spans="1:3" x14ac:dyDescent="0.45">
      <c r="A241" t="s">
        <v>362</v>
      </c>
      <c r="B241" s="380" t="s">
        <v>626</v>
      </c>
      <c r="C241" t="s">
        <v>98</v>
      </c>
    </row>
    <row r="242" spans="1:3" ht="37.799999999999997" customHeight="1" x14ac:dyDescent="0.45">
      <c r="A242" s="119" t="str">
        <f>IF(B241="はい",IF(入力フォーム!B344="","↓", "収支予算書に計上された「"&amp;入力フォーム!B344&amp;"」の支出はありますか"),IF(B241="いいえ","↓","↓"))</f>
        <v>収支予算書に計上された「Wi-Fiルーター（講座当日利用分）」の支出はありますか</v>
      </c>
      <c r="B242" s="380" t="s">
        <v>626</v>
      </c>
      <c r="C242" t="s">
        <v>98</v>
      </c>
    </row>
    <row r="243" spans="1:3" ht="37.799999999999997" customHeight="1" x14ac:dyDescent="0.45">
      <c r="A243" s="119" t="str">
        <f>IF(B241="はい",IF(入力フォーム!B347="","↓", "収支予算書に計上された「"&amp;入力フォーム!B347&amp;"」の支出はありますか"),IF(B241="いいえ","↓","↓"))</f>
        <v>↓</v>
      </c>
      <c r="B243" s="380"/>
      <c r="C243" t="s">
        <v>98</v>
      </c>
    </row>
    <row r="244" spans="1:3" ht="37.799999999999997" customHeight="1" x14ac:dyDescent="0.45">
      <c r="A244" s="119" t="str">
        <f>IF(B241="はい",IF(入力フォーム!B350="","↓", "収支予算書に計上された「"&amp;入力フォーム!B350&amp;"」の支出はありますか"),IF(B241="いいえ","↓","↓"))</f>
        <v>↓</v>
      </c>
      <c r="B244" s="380"/>
      <c r="C244" t="s">
        <v>98</v>
      </c>
    </row>
    <row r="245" spans="1:3" ht="37.799999999999997" customHeight="1" x14ac:dyDescent="0.45">
      <c r="A245" s="119" t="str">
        <f>IF(B241="はい",IF(入力フォーム!B353="","↓", "収支予算書に計上された「"&amp;入力フォーム!B353&amp;"」の支出はありますか"),IF(B241="いいえ","↓","↓"))</f>
        <v>↓</v>
      </c>
      <c r="B245" s="380"/>
      <c r="C245" t="s">
        <v>98</v>
      </c>
    </row>
    <row r="246" spans="1:3" x14ac:dyDescent="0.45">
      <c r="A246" s="16" t="str">
        <f>IF(B241="","↓",IF(B241="いいえ","↓（レンタル・リース料１の支出内容）",IF(B242="","↓（レンタル・リース料１の支出内容）",IF(B242="はい","レンタル・リース料１の支出内容（例：防災訓練時本部設営用テント）)","↓（レンタル・リース料１の支出内容）"))))</f>
        <v>レンタル・リース料１の支出内容（例：防災訓練時本部設営用テント）)</v>
      </c>
      <c r="B246" s="380" t="str">
        <f>IF(B242="はい", 収支予算書!G54,"")</f>
        <v>Wi-Fiルーター（講座当日利用分）</v>
      </c>
      <c r="C246" t="str">
        <f>IF(B247="", "", IF(B247&gt;50000, "←1つの領収書で5万円を超える場合は請求書等の内訳を示すものの添付が必要です", ""))</f>
        <v/>
      </c>
    </row>
    <row r="247" spans="1:3" x14ac:dyDescent="0.45">
      <c r="A247" t="str">
        <f>IF(B241="","↓",IF(B241="いいえ","↓（レンタル・リース料１の決算額（数字のみ記入））",IF(B242="","↓（レンタル・リース料１の決算額（数字のみ記入））",IF(B242="はい","レンタル・リース料１の決算額（数字のみ記入）","↓（レンタル・リース料１の決算額（数字のみ記入））"))))</f>
        <v>レンタル・リース料１の決算額（数字のみ記入）</v>
      </c>
      <c r="B247" s="380">
        <f>IF(B242="はい", 収支予算書!J54,"")</f>
        <v>2000</v>
      </c>
      <c r="C247" t="s">
        <v>507</v>
      </c>
    </row>
    <row r="248" spans="1:3" x14ac:dyDescent="0.45">
      <c r="A248" t="str">
        <f>IF(B241="","↓",IF(B241="いいえ","↓（レンタル・リース料１の領収書番号）",IF(B242="","↓（レンタル・リース料１の領収書番号）",IF(B242="はい","レンタル・リース料１の領収書番号","↓（レンタル・リース料１の領収書番号）"))))</f>
        <v>レンタル・リース料１の領収書番号</v>
      </c>
      <c r="B248" s="380">
        <v>3</v>
      </c>
    </row>
    <row r="249" spans="1:3" x14ac:dyDescent="0.45">
      <c r="A249" t="str">
        <f>IF(B241="","↓",IF(B241="いいえ","↓（レンタル・リース料２の支出内容）",IF(B243="","↓（レンタル・リース料２の支出内容）",IF(B243="はい","レンタル・リース料２の支出内容","↓（レンタル・リース料２の支出内容）"))))</f>
        <v>↓（レンタル・リース料２の支出内容）</v>
      </c>
      <c r="B249" s="380" t="str">
        <f>IF(B243="はい", 収支予算書!G55,"")</f>
        <v/>
      </c>
      <c r="C249" t="str">
        <f>IF(B250="", "", IF(B250&gt;50000, "←1つの領収書で5万円を超える場合は請求書等の内訳を示すものの添付が必要です", ""))</f>
        <v/>
      </c>
    </row>
    <row r="250" spans="1:3" x14ac:dyDescent="0.45">
      <c r="A250" t="str">
        <f>IF(B241="","↓",IF(B241="いいえ","↓（レンタル・リース料２の決算額（数字のみ記入））",IF(B243="","↓（レンタル・リース料２の決算額（数字のみ記入））",IF(B243="はい","レンタル・リース料２の決算額（数字のみ記入）","↓（レンタル・リース料２の決算額（数字のみ記入））"))))</f>
        <v>↓（レンタル・リース料２の決算額（数字のみ記入））</v>
      </c>
      <c r="B250" s="380" t="str">
        <f>IF(B243="はい", 収支予算書!J55,"")</f>
        <v/>
      </c>
      <c r="C250" t="s">
        <v>507</v>
      </c>
    </row>
    <row r="251" spans="1:3" x14ac:dyDescent="0.45">
      <c r="A251" t="str">
        <f>IF(B241="","↓",IF(B241="いいえ","↓（レンタル・リース料２の領収書番号）",IF(B243="","↓（レンタル・リース料２の領収書番号）",IF(B243="はい","レンタル・リース料２の領収書番号","↓（レンタル・リース料２の領収書番号）"))))</f>
        <v>↓（レンタル・リース料２の領収書番号）</v>
      </c>
      <c r="B251" s="380"/>
    </row>
    <row r="252" spans="1:3" x14ac:dyDescent="0.45">
      <c r="A252" t="str">
        <f>IF(B241="","↓",IF(B241="いいえ","↓（レンタル・リース料３の支出内容）",IF(B244="","↓（レンタル・リース料３の支出内容）",IF(B244="はい","レンタル・リース料３の支出内容","↓（レンタル・リース料３の支出内容）"))))</f>
        <v>↓（レンタル・リース料３の支出内容）</v>
      </c>
      <c r="B252" s="380" t="str">
        <f>IF(B244="はい", 収支予算書!G56,"")</f>
        <v/>
      </c>
      <c r="C252" t="str">
        <f>IF(B253="", "", IF(B253&gt;50000, "←1つの領収書で5万円を超える場合は請求書等の内訳を示すものの添付が必要です", ""))</f>
        <v/>
      </c>
    </row>
    <row r="253" spans="1:3" x14ac:dyDescent="0.45">
      <c r="A253" t="str">
        <f>IF(B241="","↓",IF(B241="いいえ","↓（レンタル・リース料３の決算額（数字のみ記入））",IF(B244="","↓（レンタル・リース料３の決算額（数字のみ記入））",IF(B244="はい","レンタル・リース料３の決算額（数字のみ記入）","↓（レンタル・リース料３の決算額（数字のみ記入））"))))</f>
        <v>↓（レンタル・リース料３の決算額（数字のみ記入））</v>
      </c>
      <c r="B253" s="380" t="str">
        <f>IF(B244="はい", 収支予算書!J56,"")</f>
        <v/>
      </c>
      <c r="C253" t="s">
        <v>507</v>
      </c>
    </row>
    <row r="254" spans="1:3" x14ac:dyDescent="0.45">
      <c r="A254" t="str">
        <f>IF(B241="","↓",IF(B241="いいえ","↓（レンタル・リース料３の領収書番号）",IF(B244="","↓（レンタル・リース料３の領収書番号）",IF(B244="はい","レンタル・リース料３の領収書番号","↓（レンタル・リース料３の領収書番号）"))))</f>
        <v>↓（レンタル・リース料３の領収書番号）</v>
      </c>
      <c r="B254" s="380"/>
    </row>
    <row r="255" spans="1:3" x14ac:dyDescent="0.45">
      <c r="A255" t="str">
        <f>IF(B241="","↓",IF(B241="いいえ","↓（レンタル・リース料４の支出内容）",IF(B245="","↓（レンタル・リース料４の支出内容）",IF(B245="はい","レンタル・リース料４の支出内容","↓（レンタル・リース料４の支出内容）"))))</f>
        <v>↓（レンタル・リース料４の支出内容）</v>
      </c>
      <c r="B255" s="380" t="str">
        <f>IF(B245="はい", 収支予算書!G57,"")</f>
        <v/>
      </c>
      <c r="C255" t="str">
        <f>IF(B256="", "", IF(B256&gt;50000, "←1つの領収書で5万円を超える場合は請求書等の内訳を示すものの添付が必要です", ""))</f>
        <v/>
      </c>
    </row>
    <row r="256" spans="1:3" x14ac:dyDescent="0.45">
      <c r="A256" t="str">
        <f>IF(B241="","↓",IF(B241="いいえ","↓（レンタル・リース料４の決算額（数字のみ記入））",IF(B245="","↓（レンタル・リース料４の決算額（数字のみ記入））",IF(B245="はい","レンタル・リース料４の決算額（数字のみ記入）","↓（レンタル・リース料４の決算額（数字のみ記入））"))))</f>
        <v>↓（レンタル・リース料４の決算額（数字のみ記入））</v>
      </c>
      <c r="B256" s="380" t="str">
        <f>IF(B245="はい", 収支予算書!J57,"")</f>
        <v/>
      </c>
      <c r="C256" t="s">
        <v>507</v>
      </c>
    </row>
    <row r="257" spans="1:3" x14ac:dyDescent="0.45">
      <c r="A257" t="str">
        <f>IF(B241="","↓",IF(B241="いいえ","↓（レンタル・リース料４の領収書番号）",IF(B245="","↓（レンタル・リース料４の領収書番号）",IF(B245="はい","レンタル・リース料４の領収書番号","↓（レンタル・リース料４の領収書番号）"))))</f>
        <v>↓（レンタル・リース料４の領収書番号）</v>
      </c>
      <c r="B257" s="380"/>
    </row>
    <row r="258" spans="1:3" x14ac:dyDescent="0.45">
      <c r="A258" t="s">
        <v>363</v>
      </c>
      <c r="B258" s="380" t="s">
        <v>625</v>
      </c>
      <c r="C258" t="s">
        <v>98</v>
      </c>
    </row>
    <row r="259" spans="1:3" ht="37.799999999999997" customHeight="1" x14ac:dyDescent="0.45">
      <c r="A259" s="119" t="str">
        <f>IF(B258="はい",IF(入力フォーム!B357="","↓", "収支予算書に計上された「"&amp;入力フォーム!B357&amp;"」の支出はありますか"),IF(B258="いいえ","↓","↓"))</f>
        <v>↓</v>
      </c>
      <c r="B259" s="380"/>
      <c r="C259" t="s">
        <v>98</v>
      </c>
    </row>
    <row r="260" spans="1:3" ht="37.799999999999997" customHeight="1" x14ac:dyDescent="0.45">
      <c r="A260" s="119" t="str">
        <f>IF(B258="はい",IF(入力フォーム!B360="","↓", "収支予算書に計上された「"&amp;入力フォーム!B360&amp;"」の支出はありますか"),IF(B258="いいえ","↓","↓"))</f>
        <v>↓</v>
      </c>
      <c r="B260" s="380"/>
      <c r="C260" t="s">
        <v>98</v>
      </c>
    </row>
    <row r="261" spans="1:3" ht="37.799999999999997" customHeight="1" x14ac:dyDescent="0.45">
      <c r="A261" s="119" t="str">
        <f>IF(B258="はい",IF(入力フォーム!B363="","↓", "収支予算書に計上された「"&amp;入力フォーム!B363&amp;"」の支出はありますか"),IF(B258="いいえ","↓","↓"))</f>
        <v>↓</v>
      </c>
      <c r="B261" s="380"/>
      <c r="C261" t="s">
        <v>98</v>
      </c>
    </row>
    <row r="262" spans="1:3" ht="37.799999999999997" customHeight="1" x14ac:dyDescent="0.45">
      <c r="A262" s="119" t="str">
        <f>IF(B258="はい",IF(入力フォーム!B366="","↓", "収支予算書に計上された「"&amp;入力フォーム!B366&amp;"」の支出はありますか"),IF(B258="いいえ","↓","↓"))</f>
        <v>↓</v>
      </c>
      <c r="B262" s="380"/>
      <c r="C262" t="s">
        <v>98</v>
      </c>
    </row>
    <row r="263" spans="1:3" x14ac:dyDescent="0.45">
      <c r="A263" s="16" t="str">
        <f>IF(B258="","↓",IF(B258="いいえ","↓（工事費１の支出内容）",IF(B259="","↓（工事費１の支出内容）",IF(B259="はい","工事費１の支出内容（例：盆踊り会場用電気工事）)","↓（工事費１の支出内容）"))))</f>
        <v>↓（工事費１の支出内容）</v>
      </c>
      <c r="B263" s="380" t="str">
        <f>IF(B259="はい", 収支予算書!G58,"")</f>
        <v/>
      </c>
      <c r="C263" t="str">
        <f>IF(B264="", "", IF(B264&gt;50000, "←1つの領収書で5万円を超える場合は請求書等の内訳を示すものの添付が必要です", ""))</f>
        <v/>
      </c>
    </row>
    <row r="264" spans="1:3" x14ac:dyDescent="0.45">
      <c r="A264" t="str">
        <f>IF(B258="","↓",IF(B258="いいえ","↓（工事費１の決算額（数字のみ記入））",IF(B259="","↓（工事費１の決算額（数字のみ記入））",IF(B259="はい","工事費１の決算額（数字のみ記入）","↓（工事費１の決算額（数字のみ記入））"))))</f>
        <v>↓（工事費１の決算額（数字のみ記入））</v>
      </c>
      <c r="B264" s="380" t="str">
        <f>IF(B259="はい", 収支予算書!J58,"")</f>
        <v/>
      </c>
      <c r="C264" t="s">
        <v>507</v>
      </c>
    </row>
    <row r="265" spans="1:3" x14ac:dyDescent="0.45">
      <c r="A265" t="str">
        <f>IF(B258="","↓",IF(B258="いいえ","↓（工事費１の領収書番号）",IF(B259="","↓（工事費１の領収書番号）",IF(B259="はい","工事費１の領収書番号","↓（工事費１の領収書番号）"))))</f>
        <v>↓（工事費１の領収書番号）</v>
      </c>
      <c r="B265" s="380"/>
    </row>
    <row r="266" spans="1:3" x14ac:dyDescent="0.45">
      <c r="A266" t="str">
        <f>IF(B258="","↓",IF(B258="いいえ","↓（工事費２の支出内容）",IF(B260="","↓（工事費２の支出内容）",IF(B260="はい","工事費２の支出内容","↓（工事費２の支出内容）"))))</f>
        <v>↓（工事費２の支出内容）</v>
      </c>
      <c r="B266" s="380" t="str">
        <f>IF(B260="はい", 収支予算書!G59,"")</f>
        <v/>
      </c>
      <c r="C266" t="str">
        <f>IF(B267="", "", IF(B267&gt;50000, "←1つの領収書で5万円を超える場合は請求書等の内訳を示すものの添付が必要です", ""))</f>
        <v/>
      </c>
    </row>
    <row r="267" spans="1:3" x14ac:dyDescent="0.45">
      <c r="A267" t="str">
        <f>IF(B258="","↓",IF(B258="いいえ","↓（工事費２の決算額（数字のみ記入））",IF(B260="","↓（工事費２の決算額（数字のみ記入））",IF(B260="はい","工事費２の決算額（数字のみ記入）","↓（工事費２の決算額（数字のみ記入））"))))</f>
        <v>↓（工事費２の決算額（数字のみ記入））</v>
      </c>
      <c r="B267" s="380" t="str">
        <f>IF(B260="はい", 収支予算書!J59,"")</f>
        <v/>
      </c>
      <c r="C267" t="s">
        <v>507</v>
      </c>
    </row>
    <row r="268" spans="1:3" x14ac:dyDescent="0.45">
      <c r="A268" t="str">
        <f>IF(B258="","↓",IF(B258="いいえ","↓（工事費２の領収書番号）",IF(B260="","↓（工事費２の領収書番号）",IF(B260="はい","工事費２の領収書番号","↓（工事費２の領収書番号）"))))</f>
        <v>↓（工事費２の領収書番号）</v>
      </c>
      <c r="B268" s="380"/>
    </row>
    <row r="269" spans="1:3" x14ac:dyDescent="0.45">
      <c r="A269" t="str">
        <f>IF(B258="","↓",IF(B258="いいえ","↓（工事費３の支出内容）",IF(B261="","↓（工事費３の支出内容）",IF(B261="はい","工事費３の支出内容","↓（工事費３の支出内容）"))))</f>
        <v>↓（工事費３の支出内容）</v>
      </c>
      <c r="B269" s="380" t="str">
        <f>IF(B261="はい", 収支予算書!G60,"")</f>
        <v/>
      </c>
      <c r="C269" t="str">
        <f>IF(B270="", "", IF(B270&gt;50000, "←1つの領収書で5万円を超える場合は請求書等の内訳を示すものの添付が必要です", ""))</f>
        <v/>
      </c>
    </row>
    <row r="270" spans="1:3" x14ac:dyDescent="0.45">
      <c r="A270" t="str">
        <f>IF(B258="","↓",IF(B258="いいえ","↓（工事費３の決算額（数字のみ記入））",IF(B261="","↓（工事費３の決算額（数字のみ記入））",IF(B261="はい","工事費３の決算額（数字のみ記入）","↓（工事費３の決算額（数字のみ記入））"))))</f>
        <v>↓（工事費３の決算額（数字のみ記入））</v>
      </c>
      <c r="B270" s="380" t="str">
        <f>IF(B261="はい", 収支予算書!J60,"")</f>
        <v/>
      </c>
      <c r="C270" t="s">
        <v>507</v>
      </c>
    </row>
    <row r="271" spans="1:3" x14ac:dyDescent="0.45">
      <c r="A271" t="str">
        <f>IF(B258="","↓",IF(B258="いいえ","↓（工事費３の領収書番号）",IF(B261="","↓（工事費３の領収書番号）",IF(B261="はい","工事費３の領収書番号","↓（工事費３の領収書番号）"))))</f>
        <v>↓（工事費３の領収書番号）</v>
      </c>
      <c r="B271" s="380" t="str">
        <f>IF(B267="はい", 収支予算書!G79,"")</f>
        <v/>
      </c>
    </row>
    <row r="272" spans="1:3" x14ac:dyDescent="0.45">
      <c r="A272" t="str">
        <f>IF(B258="","↓",IF(B258="いいえ","↓（工事費４の支出内容）",IF(B262="","↓（工事費４の支出内容）",IF(B262="はい","工事費４の支出内容","↓（工事費４の支出内容）"))))</f>
        <v>↓（工事費４の支出内容）</v>
      </c>
      <c r="B272" s="380" t="str">
        <f>IF(B262="はい", 収支予算書!G61,"")</f>
        <v/>
      </c>
      <c r="C272" t="str">
        <f>IF(B273="", "", IF(B273&gt;50000, "←1つの領収書で5万円を超える場合は請求書等の内訳を示すものの添付が必要です", ""))</f>
        <v/>
      </c>
    </row>
    <row r="273" spans="1:3" x14ac:dyDescent="0.45">
      <c r="A273" t="str">
        <f>IF(B258="","↓",IF(B258="いいえ","↓（工事費４の決算額（数字のみ記入））",IF(B262="","↓（工事費４の決算額（数字のみ記入））",IF(B262="はい","工事費４の決算額（数字のみ記入）","↓（工事費４の決算額（数字のみ記入））"))))</f>
        <v>↓（工事費４の決算額（数字のみ記入））</v>
      </c>
      <c r="B273" s="380" t="str">
        <f>IF(B262="はい", 収支予算書!J61,"")</f>
        <v/>
      </c>
      <c r="C273" t="s">
        <v>507</v>
      </c>
    </row>
    <row r="274" spans="1:3" x14ac:dyDescent="0.45">
      <c r="A274" t="str">
        <f>IF(B258="","↓",IF(B258="いいえ","↓（工事費４の領収書番号）",IF(B262="","↓（工事費４の領収書番号）",IF(B262="はい","工事費４の領収書番号","↓（工事費４の領収書番号）"))))</f>
        <v>↓（工事費４の領収書番号）</v>
      </c>
      <c r="B274" s="380"/>
    </row>
    <row r="275" spans="1:3" x14ac:dyDescent="0.45">
      <c r="A275" t="s">
        <v>364</v>
      </c>
      <c r="B275" s="380" t="s">
        <v>626</v>
      </c>
      <c r="C275" t="s">
        <v>98</v>
      </c>
    </row>
    <row r="276" spans="1:3" ht="37.799999999999997" customHeight="1" x14ac:dyDescent="0.45">
      <c r="A276" s="119" t="str">
        <f>IF(B275="はい",IF(入力フォーム!B370="","↓", "収支予算書に計上された「"&amp;入力フォーム!B370&amp;"」の支出はありますか"),IF(B275="いいえ","↓","↓"))</f>
        <v>収支予算書に計上された「講座会場使用料」の支出はありますか</v>
      </c>
      <c r="B276" s="380" t="s">
        <v>626</v>
      </c>
      <c r="C276" t="s">
        <v>98</v>
      </c>
    </row>
    <row r="277" spans="1:3" ht="37.799999999999997" customHeight="1" x14ac:dyDescent="0.45">
      <c r="A277" s="119" t="str">
        <f>IF(B275="はい",IF(入力フォーム!B373="","↓", "収支予算書に計上された「"&amp;入力フォーム!B373&amp;"」の支出はありますか"),IF(B275="いいえ","↓","↓"))</f>
        <v>収支予算書に計上された「事務用品（A4コピー用紙1束、インクカートリッジ）」の支出はありますか</v>
      </c>
      <c r="B277" s="380" t="s">
        <v>626</v>
      </c>
      <c r="C277" t="s">
        <v>98</v>
      </c>
    </row>
    <row r="278" spans="1:3" ht="37.799999999999997" customHeight="1" x14ac:dyDescent="0.45">
      <c r="A278" s="119" t="str">
        <f>IF(B275="はい",IF(入力フォーム!B376="","↓", "収支予算書に計上された「"&amp;入力フォーム!B376&amp;"」の支出はありますか"),IF(B275="いいえ","↓","↓"))</f>
        <v>収支予算書に計上された「打合せ・当日参加者用水分補給用飲料（500mlペットボトル）」の支出はありますか</v>
      </c>
      <c r="B278" s="380" t="s">
        <v>626</v>
      </c>
      <c r="C278" t="s">
        <v>98</v>
      </c>
    </row>
    <row r="279" spans="1:3" ht="37.799999999999997" customHeight="1" x14ac:dyDescent="0.45">
      <c r="A279" s="119" t="str">
        <f>IF(B275="はい",IF(入力フォーム!B379="","↓", "収支予算書に計上された「"&amp;入力フォーム!B379&amp;"」の支出はありますか"),IF(B275="いいえ","↓","↓"))</f>
        <v>↓</v>
      </c>
      <c r="B279" s="380"/>
      <c r="C279" t="s">
        <v>98</v>
      </c>
    </row>
    <row r="280" spans="1:3" x14ac:dyDescent="0.45">
      <c r="A280" s="16" t="str">
        <f>IF(B275="","↓",IF(B275="いいえ","↓（助成対象外経費１の支出内容）",IF(B276="","↓（助成対象外経費１の支出内容）",IF(B276="はい","助成対象外経費１の支出内容","↓（助成対象外経費１の支出内容）"))))</f>
        <v>助成対象外経費１の支出内容</v>
      </c>
      <c r="B280" s="380" t="str">
        <f>IF(B276="はい", 収支予算書!G63,"")</f>
        <v>講座会場使用料</v>
      </c>
    </row>
    <row r="281" spans="1:3" x14ac:dyDescent="0.45">
      <c r="A281" t="str">
        <f>IF(B275="","↓",IF(B275="いいえ","↓（助成対象外経費１の決算額（数字のみ記入））",IF(B276="","↓（助成対象外経費１の決算額（数字のみ記入））",IF(B276="はい","助成対象外経費１の決算額（数字のみ記入）","↓（助成対象外経費１の決算額（数字のみ記入））"))))</f>
        <v>助成対象外経費１の決算額（数字のみ記入）</v>
      </c>
      <c r="B281" s="380">
        <f>IF(B276="はい", 収支予算書!J63,"")</f>
        <v>25000</v>
      </c>
      <c r="C281" t="s">
        <v>507</v>
      </c>
    </row>
    <row r="282" spans="1:3" x14ac:dyDescent="0.45">
      <c r="A282" t="str">
        <f>IF(B275="","↓",IF(B275="いいえ","↓（助成対象外経費２の支出内容）",IF(B277="","↓（助成対象外経費２の支出内容）",IF(B277="はい","助成対象外経費２の支出内容","↓（助成対象外経費２の支出内容）"))))</f>
        <v>助成対象外経費２の支出内容</v>
      </c>
      <c r="B282" s="380" t="str">
        <f>IF(B277="はい", 収支予算書!G64,"")</f>
        <v>事務用品（A4コピー用紙1束、インクカートリッジ）</v>
      </c>
    </row>
    <row r="283" spans="1:3" x14ac:dyDescent="0.45">
      <c r="A283" t="str">
        <f>IF(B275="","↓",IF(B275="いいえ","↓（助成対象外経費２の決算額（数字のみ記入））",IF(B277="","↓（助成対象外経費２の決算額（数字のみ記入））",IF(B277="はい","助成対象外経費２の決算額（数字のみ記入）","↓（助成対象外経費２の決算額（数字のみ記入））"))))</f>
        <v>助成対象外経費２の決算額（数字のみ記入）</v>
      </c>
      <c r="B283" s="380">
        <f>IF(B277="はい", 収支予算書!J64,"")</f>
        <v>2300</v>
      </c>
      <c r="C283" t="s">
        <v>507</v>
      </c>
    </row>
    <row r="284" spans="1:3" x14ac:dyDescent="0.45">
      <c r="A284" t="str">
        <f>IF(B275="","↓",IF(B275="いいえ","↓（助成対象外経費３の支出内容）",IF(B278="","↓（助成対象外経費３の支出内容）",IF(B278="はい","助成対象外経費３の支出内容","↓（助成対象外経費３の支出内容）"))))</f>
        <v>助成対象外経費３の支出内容</v>
      </c>
      <c r="B284" s="380" t="str">
        <f>IF(B278="はい", 収支予算書!G65,"")</f>
        <v>打合せ・当日参加者用水分補給用飲料（500mlペットボトル）</v>
      </c>
    </row>
    <row r="285" spans="1:3" x14ac:dyDescent="0.45">
      <c r="A285" t="str">
        <f>IF(B275="","↓",IF(B275="いいえ","↓（助成対象外経費３の決算額（数字のみ記入））",IF(B278="","↓（助成対象外経費３の決算額（数字のみ記入））",IF(B278="はい","助成対象外経費３の決算額（数字のみ記入）","↓（助成対象外経費３の決算額（数字のみ記入））"))))</f>
        <v>助成対象外経費３の決算額（数字のみ記入）</v>
      </c>
      <c r="B285" s="380">
        <f>IF(B278="はい", 収支予算書!J65,"")</f>
        <v>8100</v>
      </c>
      <c r="C285" t="s">
        <v>507</v>
      </c>
    </row>
    <row r="286" spans="1:3" x14ac:dyDescent="0.45">
      <c r="A286" t="str">
        <f>IF(B275="","↓",IF(B275="いいえ","↓（助成対象外経費４の支出内容）",IF(B279="","↓（助成対象外経費４の支出内容）",IF(B279="はい","助成対象外経費４の支出内容","↓（助成対象外経費４の支出内容）"))))</f>
        <v>↓（助成対象外経費４の支出内容）</v>
      </c>
      <c r="B286" s="380" t="str">
        <f>IF(B280="はい", 収支予算書!G67,"")</f>
        <v/>
      </c>
    </row>
    <row r="287" spans="1:3" x14ac:dyDescent="0.45">
      <c r="A287" t="str">
        <f>IF(B275="","↓",IF(B275="いいえ","↓（助成対象外経費４の決算額（数字のみ記入））",IF(B279="","↓（助成対象外経費４の決算額（数字のみ記入））",IF(B279="はい","助成対象外経費４の決算額（数字のみ記入）","↓（助成対象外経費４の決算額（数字のみ記入））"))))</f>
        <v>↓（助成対象外経費４の決算額（数字のみ記入））</v>
      </c>
      <c r="B287" s="380" t="str">
        <f>IF(B279="はい", 収支予算書!J66,"")</f>
        <v/>
      </c>
      <c r="C287" t="s">
        <v>507</v>
      </c>
    </row>
    <row r="288" spans="1:3" x14ac:dyDescent="0.45">
      <c r="A288" s="16" t="s">
        <v>365</v>
      </c>
      <c r="B288" s="380" t="s">
        <v>625</v>
      </c>
      <c r="C288" t="s">
        <v>98</v>
      </c>
    </row>
    <row r="289" spans="1:5" x14ac:dyDescent="0.45">
      <c r="A289" s="119" t="str">
        <f>IF(B288="はい",IF(入力フォーム!B383="","↓", "収支予算書に計上された「"&amp;入力フォーム!B383&amp;"」の支出はありますか"),IF(B288="いいえ","↓","↓"))</f>
        <v>↓</v>
      </c>
      <c r="B289" s="380"/>
      <c r="C289" t="s">
        <v>98</v>
      </c>
    </row>
    <row r="290" spans="1:5" x14ac:dyDescent="0.45">
      <c r="A290" s="16" t="str">
        <f>IF(B288="","↓",IF(B288="いいえ","↓（助成金以外の収入の種類）",IF(B289="","↓（助成金以外の収入の種類）",IF(B289="はい","助成金以外の収入の種類（例：寄付金）","↓（助成金以外の収入の種類）"))))</f>
        <v>↓（助成金以外の収入の種類）</v>
      </c>
      <c r="B290" s="380" t="str">
        <f>IF(B289="はい", 収支予算書!G11,"")</f>
        <v/>
      </c>
      <c r="C290" t="s">
        <v>506</v>
      </c>
    </row>
    <row r="291" spans="1:5" x14ac:dyDescent="0.45">
      <c r="A291" t="str">
        <f>IF(B288="","↓",IF(B288="いいえ","↓（助成金以外の収入の金額（数字のみ記入））","助成金以外の収入の金額（数字のみ記入）"))</f>
        <v>↓（助成金以外の収入の金額（数字のみ記入））</v>
      </c>
      <c r="B291" s="380" t="str">
        <f>IF(B289="はい", 入力フォーム!B384,"")</f>
        <v/>
      </c>
      <c r="C291" t="s">
        <v>507</v>
      </c>
    </row>
    <row r="292" spans="1:5" x14ac:dyDescent="0.45">
      <c r="A292" s="122" t="s">
        <v>184</v>
      </c>
      <c r="B292" s="261">
        <f>IF(B3="都町連",2000000,IF(B3="町自連",2000000,IF(B3="地区連",1000000,IF(入力フォーム!D36="Ｃ",500000,IF(入力フォーム!D36="Ｄ",300000,IF(B3="単一",200000,""))))))</f>
        <v>200000</v>
      </c>
    </row>
    <row r="293" spans="1:5" x14ac:dyDescent="0.45">
      <c r="A293" s="122" t="s">
        <v>185</v>
      </c>
      <c r="B293" s="261">
        <f>決算書!K62</f>
        <v>227000</v>
      </c>
    </row>
    <row r="294" spans="1:5" x14ac:dyDescent="0.45">
      <c r="A294" s="122" t="s">
        <v>186</v>
      </c>
      <c r="B294" s="261">
        <f>決算書!K69</f>
        <v>262400</v>
      </c>
    </row>
    <row r="295" spans="1:5" x14ac:dyDescent="0.45">
      <c r="A295" s="122" t="s">
        <v>187</v>
      </c>
      <c r="B295" s="261">
        <f>IFERROR(B294-IF(B291="",0,B291)-B296,"")</f>
        <v>62400</v>
      </c>
    </row>
    <row r="296" spans="1:5" x14ac:dyDescent="0.45">
      <c r="A296" s="121" t="s">
        <v>188</v>
      </c>
      <c r="B296" s="261">
        <f>IFERROR(IF(B294-E296&gt;IF(B291="",0,B291),E296,ROUNDDOWN(B294-IF(B291="",0,B291),-3)),"")</f>
        <v>200000</v>
      </c>
      <c r="E296" s="59">
        <f>IFERROR(IF(ROUNDDOWN(B293*入力フォーム!D40,-3)&gt;B292,B292,ROUNDDOWN(B293*入力フォーム!D40,-3)),"")</f>
        <v>200000</v>
      </c>
    </row>
    <row r="298" spans="1:5" x14ac:dyDescent="0.45">
      <c r="A298" t="s">
        <v>597</v>
      </c>
    </row>
    <row r="299" spans="1:5" x14ac:dyDescent="0.45">
      <c r="A299" s="354" t="s">
        <v>598</v>
      </c>
    </row>
    <row r="300" spans="1:5" x14ac:dyDescent="0.45">
      <c r="A300" s="354" t="s">
        <v>599</v>
      </c>
    </row>
    <row r="301" spans="1:5" x14ac:dyDescent="0.45">
      <c r="A301" s="354" t="s">
        <v>600</v>
      </c>
    </row>
    <row r="302" spans="1:5" x14ac:dyDescent="0.45">
      <c r="A302" s="354" t="s">
        <v>603</v>
      </c>
    </row>
    <row r="303" spans="1:5" x14ac:dyDescent="0.45">
      <c r="A303" s="354" t="s">
        <v>604</v>
      </c>
    </row>
    <row r="304" spans="1:5" x14ac:dyDescent="0.45">
      <c r="A304" s="354" t="s">
        <v>605</v>
      </c>
    </row>
    <row r="305" spans="1:1" x14ac:dyDescent="0.45">
      <c r="A305" s="354" t="s">
        <v>591</v>
      </c>
    </row>
    <row r="306" spans="1:1" x14ac:dyDescent="0.45">
      <c r="A306" s="354" t="s">
        <v>602</v>
      </c>
    </row>
    <row r="307" spans="1:1" x14ac:dyDescent="0.45">
      <c r="A307" s="354" t="s">
        <v>601</v>
      </c>
    </row>
    <row r="308" spans="1:1" x14ac:dyDescent="0.45">
      <c r="A308" s="354" t="s">
        <v>593</v>
      </c>
    </row>
    <row r="309" spans="1:1" x14ac:dyDescent="0.45">
      <c r="A309" s="354" t="s">
        <v>606</v>
      </c>
    </row>
  </sheetData>
  <sheetProtection sheet="1" objects="1" scenarios="1"/>
  <dataConsolidate/>
  <phoneticPr fontId="1"/>
  <conditionalFormatting sqref="A13:A14">
    <cfRule type="containsText" dxfId="44" priority="22" operator="containsText" text="↓">
      <formula>NOT(ISERROR(SEARCH("↓",A13)))</formula>
    </cfRule>
    <cfRule type="containsBlanks" dxfId="43" priority="23">
      <formula>LEN(TRIM(A13))=0</formula>
    </cfRule>
  </conditionalFormatting>
  <conditionalFormatting sqref="A27:A36 A41:A45 A81:A86">
    <cfRule type="cellIs" dxfId="42" priority="813" operator="equal">
      <formula>"↓"</formula>
    </cfRule>
  </conditionalFormatting>
  <conditionalFormatting sqref="A47:A70">
    <cfRule type="containsText" dxfId="41" priority="718" operator="containsText" text="↓">
      <formula>NOT(ISERROR(SEARCH("↓",A47)))</formula>
    </cfRule>
  </conditionalFormatting>
  <conditionalFormatting sqref="A74">
    <cfRule type="expression" dxfId="40" priority="21">
      <formula>A74="－"</formula>
    </cfRule>
  </conditionalFormatting>
  <conditionalFormatting sqref="A80">
    <cfRule type="containsText" dxfId="39" priority="706" operator="containsText" text="↓">
      <formula>NOT(ISERROR(SEARCH("↓",A80)))</formula>
    </cfRule>
  </conditionalFormatting>
  <conditionalFormatting sqref="A87">
    <cfRule type="containsText" dxfId="38" priority="19" operator="containsText" text="↓">
      <formula>NOT(ISERROR(SEARCH("↓",A87)))</formula>
    </cfRule>
  </conditionalFormatting>
  <conditionalFormatting sqref="A87:A291">
    <cfRule type="containsBlanks" dxfId="37" priority="2">
      <formula>LEN(TRIM(A87))=0</formula>
    </cfRule>
  </conditionalFormatting>
  <conditionalFormatting sqref="A88:A91">
    <cfRule type="cellIs" dxfId="36" priority="811" operator="equal">
      <formula>"↓"</formula>
    </cfRule>
  </conditionalFormatting>
  <conditionalFormatting sqref="A92:A104">
    <cfRule type="containsText" dxfId="35" priority="17" operator="containsText" text="↓">
      <formula>NOT(ISERROR(SEARCH("↓",A92)))</formula>
    </cfRule>
  </conditionalFormatting>
  <conditionalFormatting sqref="A105:A108">
    <cfRule type="cellIs" dxfId="34" priority="807" operator="equal">
      <formula>"↓"</formula>
    </cfRule>
  </conditionalFormatting>
  <conditionalFormatting sqref="A109:A121">
    <cfRule type="containsText" dxfId="33" priority="15" operator="containsText" text="↓">
      <formula>NOT(ISERROR(SEARCH("↓",A109)))</formula>
    </cfRule>
  </conditionalFormatting>
  <conditionalFormatting sqref="A122:A138">
    <cfRule type="cellIs" dxfId="32" priority="796" operator="equal">
      <formula>"↓"</formula>
    </cfRule>
  </conditionalFormatting>
  <conditionalFormatting sqref="A139:A190">
    <cfRule type="containsText" dxfId="31" priority="13" operator="containsText" text="↓">
      <formula>NOT(ISERROR(SEARCH("↓",A139)))</formula>
    </cfRule>
  </conditionalFormatting>
  <conditionalFormatting sqref="A191:A194">
    <cfRule type="cellIs" dxfId="30" priority="793" operator="equal">
      <formula>"↓"</formula>
    </cfRule>
  </conditionalFormatting>
  <conditionalFormatting sqref="A195:A207">
    <cfRule type="containsText" dxfId="29" priority="11" operator="containsText" text="↓">
      <formula>NOT(ISERROR(SEARCH("↓",A195)))</formula>
    </cfRule>
  </conditionalFormatting>
  <conditionalFormatting sqref="A208:A211">
    <cfRule type="cellIs" dxfId="28" priority="790" operator="equal">
      <formula>"↓"</formula>
    </cfRule>
  </conditionalFormatting>
  <conditionalFormatting sqref="A212:A224">
    <cfRule type="containsText" dxfId="27" priority="9" operator="containsText" text="↓">
      <formula>NOT(ISERROR(SEARCH("↓",A212)))</formula>
    </cfRule>
  </conditionalFormatting>
  <conditionalFormatting sqref="A225:A228">
    <cfRule type="cellIs" dxfId="26" priority="787" operator="equal">
      <formula>"↓"</formula>
    </cfRule>
  </conditionalFormatting>
  <conditionalFormatting sqref="A229:A241">
    <cfRule type="containsText" dxfId="25" priority="7" operator="containsText" text="↓">
      <formula>NOT(ISERROR(SEARCH("↓",A229)))</formula>
    </cfRule>
  </conditionalFormatting>
  <conditionalFormatting sqref="A242:A245">
    <cfRule type="cellIs" dxfId="24" priority="784" operator="equal">
      <formula>"↓"</formula>
    </cfRule>
  </conditionalFormatting>
  <conditionalFormatting sqref="A246:A258">
    <cfRule type="containsText" dxfId="23" priority="5" operator="containsText" text="↓">
      <formula>NOT(ISERROR(SEARCH("↓",A246)))</formula>
    </cfRule>
  </conditionalFormatting>
  <conditionalFormatting sqref="A259:A262">
    <cfRule type="cellIs" dxfId="22" priority="781" operator="equal">
      <formula>"↓"</formula>
    </cfRule>
  </conditionalFormatting>
  <conditionalFormatting sqref="A263:A275">
    <cfRule type="containsText" dxfId="21" priority="3" operator="containsText" text="↓">
      <formula>NOT(ISERROR(SEARCH("↓",A263)))</formula>
    </cfRule>
  </conditionalFormatting>
  <conditionalFormatting sqref="A276:A279">
    <cfRule type="cellIs" dxfId="20" priority="778" operator="equal">
      <formula>"↓"</formula>
    </cfRule>
  </conditionalFormatting>
  <conditionalFormatting sqref="A280:A288">
    <cfRule type="containsText" dxfId="19" priority="1" operator="containsText" text="↓">
      <formula>NOT(ISERROR(SEARCH("↓",A280)))</formula>
    </cfRule>
  </conditionalFormatting>
  <conditionalFormatting sqref="A289">
    <cfRule type="cellIs" dxfId="18" priority="775" operator="equal">
      <formula>"↓"</formula>
    </cfRule>
  </conditionalFormatting>
  <conditionalFormatting sqref="A290:A291">
    <cfRule type="containsText" dxfId="17" priority="749" operator="containsText" text="↓">
      <formula>NOT(ISERROR(SEARCH("↓",A290)))</formula>
    </cfRule>
  </conditionalFormatting>
  <conditionalFormatting sqref="B27:B36 B80:B86">
    <cfRule type="expression" dxfId="16" priority="737">
      <formula>$A27="↓"</formula>
    </cfRule>
  </conditionalFormatting>
  <conditionalFormatting sqref="B41:B45">
    <cfRule type="expression" dxfId="15" priority="732">
      <formula>$A41="↓"</formula>
    </cfRule>
  </conditionalFormatting>
  <conditionalFormatting sqref="B48:B70">
    <cfRule type="expression" dxfId="14" priority="708">
      <formula>$A48="↓"</formula>
    </cfRule>
  </conditionalFormatting>
  <conditionalFormatting sqref="B74">
    <cfRule type="expression" dxfId="13" priority="707">
      <formula>$A74="－"</formula>
    </cfRule>
  </conditionalFormatting>
  <conditionalFormatting sqref="B88:B103">
    <cfRule type="expression" dxfId="12" priority="205">
      <formula>COUNTIF($A88,"*↓*")</formula>
    </cfRule>
  </conditionalFormatting>
  <conditionalFormatting sqref="B105:B108">
    <cfRule type="expression" dxfId="11" priority="599">
      <formula>$A105="↓"</formula>
    </cfRule>
  </conditionalFormatting>
  <conditionalFormatting sqref="B109:B120">
    <cfRule type="expression" dxfId="10" priority="24">
      <formula>COUNTIF($A109,"*↓*")</formula>
    </cfRule>
  </conditionalFormatting>
  <conditionalFormatting sqref="B122:B189">
    <cfRule type="expression" dxfId="9" priority="122">
      <formula>COUNTIF($A122,"*↓*")</formula>
    </cfRule>
  </conditionalFormatting>
  <conditionalFormatting sqref="B191:B206">
    <cfRule type="expression" dxfId="8" priority="106">
      <formula>COUNTIF($A191,"*↓*")</formula>
    </cfRule>
  </conditionalFormatting>
  <conditionalFormatting sqref="B208:B223">
    <cfRule type="expression" dxfId="7" priority="90">
      <formula>COUNTIF($A208,"*↓*")</formula>
    </cfRule>
  </conditionalFormatting>
  <conditionalFormatting sqref="B225:B240">
    <cfRule type="expression" dxfId="6" priority="74">
      <formula>COUNTIF($A225,"*↓*")</formula>
    </cfRule>
  </conditionalFormatting>
  <conditionalFormatting sqref="B242:B257">
    <cfRule type="expression" dxfId="5" priority="58">
      <formula>COUNTIF($A242,"*↓*")</formula>
    </cfRule>
  </conditionalFormatting>
  <conditionalFormatting sqref="B259:B274">
    <cfRule type="expression" dxfId="4" priority="41">
      <formula>COUNTIF($A259,"*↓*")</formula>
    </cfRule>
  </conditionalFormatting>
  <conditionalFormatting sqref="B276:B287">
    <cfRule type="expression" dxfId="3" priority="28">
      <formula>COUNTIF($A276,"*↓*")</formula>
    </cfRule>
  </conditionalFormatting>
  <conditionalFormatting sqref="B289:B291">
    <cfRule type="expression" dxfId="2" priority="25">
      <formula>COUNTIF($A289,"*↓*")</formula>
    </cfRule>
  </conditionalFormatting>
  <conditionalFormatting sqref="C47">
    <cfRule type="containsText" dxfId="1" priority="747" operator="containsText" text="←">
      <formula>NOT(ISERROR(SEARCH("←",C47)))</formula>
    </cfRule>
  </conditionalFormatting>
  <conditionalFormatting sqref="C92 C94:C95 C97:C98 C100:C101 C103 C109 C111:C112 C114:C115 C117:C118 C120 C139 C141:C142 C144:C145 C147:C148 C150:C151 C153:C154 C156:C157 C159:C160 C162:C163 C165:C166 C168:C169 C171:C172 C174:C175 C177:C178 C180:C181 C183:C184 C186:C187 C189 C195 C197:C198 C200:C201 C203:C204 C206 C212 C214:C215 C217:C218 C220:C221 C223 C229 C231:C232 C234:C235 C237:C238 C240 C246 C248:C249 C251:C252 C254:C255 C257 C263 C265:C266 C268:C269 C271:C272 C274">
    <cfRule type="containsText" dxfId="0" priority="748" operator="containsText" text="←">
      <formula>NOT(ISERROR(SEARCH("←",C92)))</formula>
    </cfRule>
  </conditionalFormatting>
  <dataValidations count="3">
    <dataValidation type="list" allowBlank="1" showInputMessage="1" showErrorMessage="1" sqref="B3" xr:uid="{00000000-0002-0000-0900-000000000000}">
      <formula1>"単一,地区連,町自連,都町連"</formula1>
    </dataValidation>
    <dataValidation type="list" allowBlank="1" showInputMessage="1" showErrorMessage="1" sqref="B258:B262 B241:B245 B275:B279 B87:B91 B104:B108 B121:B138 B190:B194 B207:B211 B224:B228 B288:B289" xr:uid="{00000000-0002-0000-0900-000001000000}">
      <formula1>"はい,いいえ"</formula1>
    </dataValidation>
    <dataValidation type="list" allowBlank="1" showInputMessage="1" showErrorMessage="1" sqref="B48 B54 B52 B75:B77 B50 B61:B64 B56:B57 B72:B73 B67:B69" xr:uid="{00000000-0002-0000-0900-000002000000}">
      <formula1>"☑"</formula1>
    </dataValidation>
  </dataValidations>
  <pageMargins left="0.7" right="0.7" top="0.75" bottom="0.75" header="0.3" footer="0.3"/>
  <pageSetup paperSize="9" orientation="portrait" r:id="rId1"/>
  <ignoredErrors>
    <ignoredError sqref="F31"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M90"/>
  <sheetViews>
    <sheetView view="pageBreakPreview" topLeftCell="A63" zoomScaleNormal="100" zoomScaleSheetLayoutView="100" workbookViewId="0">
      <selection activeCell="G37" sqref="G37:L37"/>
    </sheetView>
  </sheetViews>
  <sheetFormatPr defaultRowHeight="13.2" x14ac:dyDescent="0.45"/>
  <cols>
    <col min="1" max="2" width="3.19921875" style="11" customWidth="1"/>
    <col min="3" max="3" width="2.296875" style="11" customWidth="1"/>
    <col min="4" max="4" width="9.69921875" style="11" customWidth="1"/>
    <col min="5" max="5" width="3" style="11" customWidth="1"/>
    <col min="6" max="6" width="16.8984375" style="11" customWidth="1"/>
    <col min="7" max="7" width="8.09765625" style="11" customWidth="1"/>
    <col min="8" max="8" width="9.796875" style="11" customWidth="1"/>
    <col min="9" max="9" width="2.69921875" style="11" customWidth="1"/>
    <col min="10" max="10" width="15.69921875" style="11" customWidth="1"/>
    <col min="11" max="11" width="13.69921875" style="11" customWidth="1"/>
    <col min="12" max="12" width="2.69921875" style="11" customWidth="1"/>
    <col min="13" max="16" width="9.5" style="11" customWidth="1"/>
    <col min="17" max="16384" width="8.796875" style="11"/>
  </cols>
  <sheetData>
    <row r="4" spans="1:13" ht="14.4" x14ac:dyDescent="0.45">
      <c r="A4" s="315" t="s">
        <v>204</v>
      </c>
      <c r="B4" s="315"/>
      <c r="C4" s="12"/>
      <c r="D4" s="12"/>
      <c r="E4" s="12"/>
    </row>
    <row r="6" spans="1:13" ht="14.4" x14ac:dyDescent="0.45">
      <c r="J6" s="577" t="s">
        <v>292</v>
      </c>
      <c r="K6" s="577"/>
      <c r="L6" s="577"/>
    </row>
    <row r="7" spans="1:13" ht="14.4" x14ac:dyDescent="0.45">
      <c r="A7" s="72" t="s">
        <v>2</v>
      </c>
    </row>
    <row r="8" spans="1:13" ht="15" thickBot="1" x14ac:dyDescent="0.5">
      <c r="H8" s="311"/>
    </row>
    <row r="9" spans="1:13" ht="27" customHeight="1" thickBot="1" x14ac:dyDescent="0.5">
      <c r="D9" s="334" t="s">
        <v>11</v>
      </c>
      <c r="E9" s="580" t="str">
        <f>実績入力フォーム!B2&amp;""</f>
        <v>東京一丁目町会</v>
      </c>
      <c r="F9" s="580"/>
      <c r="G9" s="581"/>
      <c r="H9" s="331" t="s">
        <v>412</v>
      </c>
      <c r="I9" s="555" t="str">
        <f>実績入力フォーム!B6&amp;"　"&amp;実績入力フォーム!B7</f>
        <v>会長　東京　太郎</v>
      </c>
      <c r="J9" s="555"/>
      <c r="K9" s="555"/>
      <c r="L9" s="348" t="s">
        <v>450</v>
      </c>
      <c r="M9" s="11" t="s">
        <v>97</v>
      </c>
    </row>
    <row r="10" spans="1:13" x14ac:dyDescent="0.45">
      <c r="D10" s="423" t="s">
        <v>12</v>
      </c>
      <c r="E10" s="582" t="str">
        <f>IF(実績入力フォーム!B4="","〒",実績入力フォーム!B4)</f>
        <v>〒111-0001</v>
      </c>
      <c r="F10" s="582"/>
      <c r="G10" s="583"/>
      <c r="H10" s="419" t="s">
        <v>13</v>
      </c>
      <c r="I10" s="565" t="str">
        <f>実績入力フォーム!B8&amp;""</f>
        <v>03-5321-XXXX</v>
      </c>
      <c r="J10" s="565"/>
      <c r="K10" s="565"/>
      <c r="L10" s="566"/>
      <c r="M10" s="11" t="s">
        <v>97</v>
      </c>
    </row>
    <row r="11" spans="1:13" x14ac:dyDescent="0.45">
      <c r="D11" s="414"/>
      <c r="E11" s="567" t="str">
        <f>実績入力フォーム!B5&amp;""</f>
        <v>○○区△△１－２－１</v>
      </c>
      <c r="F11" s="567"/>
      <c r="G11" s="568"/>
      <c r="H11" s="420"/>
      <c r="I11" s="567"/>
      <c r="J11" s="567"/>
      <c r="K11" s="567"/>
      <c r="L11" s="568"/>
    </row>
    <row r="12" spans="1:13" ht="6.6" customHeight="1" x14ac:dyDescent="0.45">
      <c r="D12" s="342"/>
      <c r="E12" s="264"/>
      <c r="F12" s="264"/>
      <c r="G12" s="264"/>
      <c r="H12" s="323"/>
      <c r="I12" s="565"/>
      <c r="J12" s="565"/>
      <c r="K12" s="565"/>
      <c r="L12" s="565"/>
    </row>
    <row r="13" spans="1:13" x14ac:dyDescent="0.45">
      <c r="D13" s="397" t="s">
        <v>416</v>
      </c>
      <c r="E13" s="397"/>
      <c r="F13" s="397"/>
      <c r="G13" s="397"/>
      <c r="H13" s="397"/>
      <c r="I13" s="397"/>
      <c r="J13" s="397"/>
      <c r="K13" s="397"/>
      <c r="L13" s="397"/>
    </row>
    <row r="14" spans="1:13" ht="26.4" customHeight="1" x14ac:dyDescent="0.45">
      <c r="D14" s="329" t="s">
        <v>402</v>
      </c>
      <c r="E14" s="563" t="str">
        <f>実績入力フォーム!B9&amp;""</f>
        <v>副会長</v>
      </c>
      <c r="F14" s="563"/>
      <c r="G14" s="564"/>
      <c r="H14" s="291" t="s">
        <v>401</v>
      </c>
      <c r="I14" s="555" t="str">
        <f>実績入力フォーム!B10&amp;""</f>
        <v>新宿　花子</v>
      </c>
      <c r="J14" s="555"/>
      <c r="K14" s="555"/>
      <c r="L14" s="579"/>
      <c r="M14" s="11" t="s">
        <v>97</v>
      </c>
    </row>
    <row r="15" spans="1:13" ht="12.6" customHeight="1" x14ac:dyDescent="0.45">
      <c r="D15" s="413" t="s">
        <v>413</v>
      </c>
      <c r="E15" s="561" t="str">
        <f>IF(実績入力フォーム!B11="","〒",実績入力フォーム!B11)</f>
        <v>〒111-0002</v>
      </c>
      <c r="F15" s="561"/>
      <c r="G15" s="562"/>
      <c r="H15" s="421" t="s">
        <v>445</v>
      </c>
      <c r="I15" s="569" t="str">
        <f>IF(AND(実績入力フォーム!B13&lt;&gt;"",実績入力フォーム!B14&lt;&gt;""),"①"&amp;実績入力フォーム!B13&amp;"/②"&amp;実績入力フォーム!B14,IF(AND(実績入力フォーム!B13&lt;&gt;"",実績入力フォーム!B14=""),"①"&amp;実績入力フォーム!B13,IF(AND(実績入力フォーム!B13="",実績入力フォーム!B14&lt;&gt;""),"②"&amp;実績入力フォーム!B14,"①　　　　　         　　　　　　　　　②")))</f>
        <v>①03-5321-YYYY/②090-1234-ZZZZ</v>
      </c>
      <c r="J15" s="569"/>
      <c r="K15" s="569"/>
      <c r="L15" s="570"/>
    </row>
    <row r="16" spans="1:13" ht="22.2" customHeight="1" x14ac:dyDescent="0.45">
      <c r="D16" s="414"/>
      <c r="E16" s="567" t="str">
        <f>実績入力フォーム!B12&amp;""</f>
        <v>○○区△△３－２－１４</v>
      </c>
      <c r="F16" s="567"/>
      <c r="G16" s="568"/>
      <c r="H16" s="420"/>
      <c r="I16" s="571"/>
      <c r="J16" s="571"/>
      <c r="K16" s="571"/>
      <c r="L16" s="572"/>
      <c r="M16" s="11" t="s">
        <v>97</v>
      </c>
    </row>
    <row r="17" spans="1:13" ht="26.4" customHeight="1" x14ac:dyDescent="0.45">
      <c r="D17" s="343" t="s">
        <v>414</v>
      </c>
      <c r="E17" s="563" t="str">
        <f>実績入力フォーム!B15&amp;""</f>
        <v>03-5321-ZZZZ</v>
      </c>
      <c r="F17" s="563"/>
      <c r="G17" s="564"/>
      <c r="H17" s="331" t="s">
        <v>403</v>
      </c>
      <c r="I17" s="571" t="str">
        <f>実績入力フォーム!B16&amp;""</f>
        <v>hanako-s@toooo.xxxx.jp</v>
      </c>
      <c r="J17" s="571"/>
      <c r="K17" s="571"/>
      <c r="L17" s="572"/>
      <c r="M17" s="11" t="s">
        <v>97</v>
      </c>
    </row>
    <row r="18" spans="1:13" ht="13.2" customHeight="1" x14ac:dyDescent="0.45">
      <c r="G18" s="410" t="s">
        <v>18</v>
      </c>
      <c r="H18" s="410"/>
      <c r="I18" s="410"/>
      <c r="J18" s="410"/>
      <c r="K18" s="410"/>
      <c r="L18" s="410"/>
    </row>
    <row r="20" spans="1:13" ht="14.4" x14ac:dyDescent="0.45">
      <c r="A20" s="13" t="s">
        <v>205</v>
      </c>
      <c r="B20" s="13"/>
      <c r="C20" s="13"/>
      <c r="D20" s="13"/>
      <c r="E20" s="13"/>
      <c r="F20" s="14"/>
      <c r="G20" s="14"/>
      <c r="H20" s="14"/>
      <c r="I20" s="14"/>
      <c r="J20" s="14"/>
      <c r="K20" s="14"/>
      <c r="L20" s="14"/>
    </row>
    <row r="22" spans="1:13" ht="14.4" x14ac:dyDescent="0.45">
      <c r="A22" s="534" t="str">
        <f>IF(実績入力フォーム!B17="","令和　　年　　月　　日付けで交付決定を受けた事業を完了したので、令和７年度地域の底力発展", DBCS(TEXT(実績入力フォーム!B17, "ggge年m月d日"))&amp;"付けで交付決定を受けた事業を完了したので、令和７年度地域の底力発展")</f>
        <v>令和７年１０月９日付けで交付決定を受けた事業を完了したので、令和７年度地域の底力発展</v>
      </c>
      <c r="B22" s="534"/>
      <c r="C22" s="534"/>
      <c r="D22" s="534"/>
      <c r="E22" s="534"/>
      <c r="F22" s="534"/>
      <c r="G22" s="534"/>
      <c r="H22" s="534"/>
      <c r="I22" s="534"/>
      <c r="J22" s="534"/>
      <c r="K22" s="534"/>
      <c r="L22" s="534"/>
    </row>
    <row r="23" spans="1:13" ht="14.4" x14ac:dyDescent="0.45">
      <c r="A23" s="72" t="s">
        <v>397</v>
      </c>
      <c r="B23" s="72"/>
    </row>
    <row r="25" spans="1:13" ht="14.4" x14ac:dyDescent="0.45">
      <c r="A25" s="13" t="s">
        <v>4</v>
      </c>
      <c r="B25" s="14"/>
      <c r="C25" s="14"/>
      <c r="D25" s="14"/>
      <c r="E25" s="14"/>
      <c r="F25" s="14"/>
      <c r="G25" s="14"/>
      <c r="H25" s="14"/>
      <c r="I25" s="14"/>
      <c r="J25" s="14"/>
      <c r="K25" s="14"/>
      <c r="L25" s="14"/>
    </row>
    <row r="27" spans="1:13" ht="14.4" x14ac:dyDescent="0.45">
      <c r="A27" s="301" t="s">
        <v>6</v>
      </c>
      <c r="B27" s="279" t="s">
        <v>206</v>
      </c>
      <c r="C27" s="279"/>
      <c r="D27" s="279"/>
      <c r="E27" s="279"/>
      <c r="F27" s="72"/>
      <c r="G27" s="72"/>
      <c r="H27" s="72"/>
      <c r="I27" s="72"/>
      <c r="J27" s="72"/>
      <c r="K27" s="72"/>
      <c r="L27" s="72"/>
    </row>
    <row r="28" spans="1:13" ht="23.4" customHeight="1" x14ac:dyDescent="0.45">
      <c r="A28" s="302" t="s">
        <v>207</v>
      </c>
      <c r="B28" s="72" t="s">
        <v>208</v>
      </c>
      <c r="C28" s="72"/>
      <c r="D28" s="72"/>
      <c r="E28" s="72"/>
      <c r="F28" s="556" t="str">
        <f>入力フォーム!B146&amp;""</f>
        <v>電子回覧板アプリ導入に向けたアプリ使用講座</v>
      </c>
      <c r="G28" s="556"/>
      <c r="H28" s="556"/>
      <c r="I28" s="556"/>
      <c r="J28" s="556"/>
      <c r="K28" s="556"/>
      <c r="L28" s="556"/>
      <c r="M28" s="11" t="s">
        <v>97</v>
      </c>
    </row>
    <row r="29" spans="1:13" ht="8.4" customHeight="1" x14ac:dyDescent="0.45">
      <c r="A29" s="301"/>
      <c r="B29" s="279"/>
      <c r="C29" s="279"/>
      <c r="D29" s="279"/>
      <c r="E29" s="279"/>
      <c r="F29" s="72"/>
      <c r="G29" s="72"/>
      <c r="H29" s="72"/>
      <c r="I29" s="72"/>
      <c r="J29" s="72"/>
      <c r="K29" s="72"/>
      <c r="L29" s="72"/>
    </row>
    <row r="30" spans="1:13" ht="23.4" customHeight="1" x14ac:dyDescent="0.45">
      <c r="A30" s="302" t="s">
        <v>209</v>
      </c>
      <c r="B30" s="72" t="s">
        <v>210</v>
      </c>
      <c r="C30" s="72"/>
      <c r="D30" s="72"/>
      <c r="E30" s="72"/>
      <c r="F30" s="556" t="str">
        <f>IF(実績入力フォーム!B23="", "　　　　年　　　　月　　　　日から　　　　年　　　　月　　　　日まで", 実績入力フォーム!D22&amp;"から"&amp;実績入力フォーム!D23&amp;"まで")</f>
        <v>令和7年7月5日から令和7年11月1日まで</v>
      </c>
      <c r="G30" s="556"/>
      <c r="H30" s="556"/>
      <c r="I30" s="556"/>
      <c r="J30" s="556"/>
      <c r="K30" s="556"/>
      <c r="L30" s="556"/>
      <c r="M30" s="11" t="s">
        <v>97</v>
      </c>
    </row>
    <row r="31" spans="1:13" ht="8.4" customHeight="1" x14ac:dyDescent="0.45">
      <c r="A31" s="301"/>
      <c r="B31" s="279"/>
      <c r="C31" s="279"/>
      <c r="D31" s="279"/>
      <c r="E31" s="279"/>
      <c r="F31" s="303"/>
      <c r="G31" s="303"/>
      <c r="H31" s="72"/>
      <c r="I31" s="72"/>
      <c r="J31" s="72"/>
      <c r="K31" s="72"/>
      <c r="L31" s="72"/>
    </row>
    <row r="32" spans="1:13" ht="23.4" customHeight="1" x14ac:dyDescent="0.45">
      <c r="A32" s="302" t="s">
        <v>211</v>
      </c>
      <c r="B32" s="72" t="s">
        <v>417</v>
      </c>
      <c r="C32" s="72"/>
      <c r="D32" s="262"/>
      <c r="E32" s="262"/>
      <c r="F32" s="556" t="str">
        <f>IF(実績入力フォーム!B24="","　　　　　　　　　名",TEXT(実績入力フォーム!B24,"#,##0"&amp;"名"))</f>
        <v>30名</v>
      </c>
      <c r="G32" s="556"/>
      <c r="H32" s="556"/>
      <c r="I32" s="556"/>
      <c r="J32" s="556"/>
      <c r="K32" s="556"/>
      <c r="L32" s="556"/>
      <c r="M32" s="11" t="s">
        <v>97</v>
      </c>
    </row>
    <row r="33" spans="1:13" ht="8.4" customHeight="1" x14ac:dyDescent="0.45">
      <c r="A33" s="72"/>
      <c r="B33" s="72"/>
      <c r="C33" s="72"/>
      <c r="D33" s="72"/>
      <c r="E33" s="72"/>
      <c r="F33" s="72"/>
      <c r="G33" s="72"/>
      <c r="H33" s="72"/>
      <c r="I33" s="72"/>
      <c r="J33" s="72"/>
      <c r="K33" s="72"/>
      <c r="L33" s="72"/>
    </row>
    <row r="34" spans="1:13" ht="23.4" customHeight="1" x14ac:dyDescent="0.45">
      <c r="A34" s="302" t="s">
        <v>212</v>
      </c>
      <c r="B34" s="72" t="s">
        <v>213</v>
      </c>
      <c r="C34" s="72"/>
      <c r="D34" s="72"/>
      <c r="E34" s="72"/>
      <c r="F34" s="72"/>
      <c r="G34" s="72"/>
      <c r="H34" s="72"/>
      <c r="I34" s="72"/>
      <c r="J34" s="72"/>
      <c r="K34" s="72"/>
      <c r="L34" s="72"/>
    </row>
    <row r="35" spans="1:13" ht="23.4" customHeight="1" x14ac:dyDescent="0.45">
      <c r="A35" s="72"/>
      <c r="B35" s="559" t="s">
        <v>215</v>
      </c>
      <c r="C35" s="559"/>
      <c r="D35" s="559"/>
      <c r="E35" s="559"/>
      <c r="F35" s="304" t="s">
        <v>214</v>
      </c>
      <c r="G35" s="556" t="str">
        <f>実績入力フォーム!F25&amp;実績入力フォーム!F26&amp;実績入力フォーム!F27&amp;実績入力フォーム!F28&amp;実績入力フォーム!F29&amp;実績入力フォーム!F30&amp;""</f>
        <v>7月5日、10月4日、11月1日</v>
      </c>
      <c r="H35" s="556"/>
      <c r="I35" s="556"/>
      <c r="J35" s="556"/>
      <c r="K35" s="556"/>
      <c r="L35" s="556"/>
      <c r="M35" s="11" t="s">
        <v>97</v>
      </c>
    </row>
    <row r="36" spans="1:13" ht="23.4" customHeight="1" x14ac:dyDescent="0.45">
      <c r="A36" s="72"/>
      <c r="B36" s="72"/>
      <c r="C36" s="72"/>
      <c r="D36" s="72"/>
      <c r="E36" s="72"/>
      <c r="F36" s="72"/>
      <c r="G36" s="560" t="str">
        <f>実績入力フォーム!F31&amp;実績入力フォーム!F32&amp;実績入力フォーム!F33&amp;実績入力フォーム!F34&amp;実績入力フォーム!F35&amp;実績入力フォーム!F36&amp;""</f>
        <v/>
      </c>
      <c r="H36" s="560"/>
      <c r="I36" s="560"/>
      <c r="J36" s="560"/>
      <c r="K36" s="560"/>
      <c r="L36" s="560"/>
      <c r="M36" s="11" t="s">
        <v>97</v>
      </c>
    </row>
    <row r="37" spans="1:13" ht="23.4" customHeight="1" x14ac:dyDescent="0.45">
      <c r="A37" s="72"/>
      <c r="B37" s="72"/>
      <c r="C37" s="72"/>
      <c r="D37" s="72"/>
      <c r="E37" s="72"/>
      <c r="F37" s="304" t="s">
        <v>218</v>
      </c>
      <c r="G37" s="560" t="str">
        <f>IF(実績入力フォーム!B37="","　 　　 　　　　　名",TEXT(実績入力フォーム!B37,"#,##0"&amp;"名"))</f>
        <v>45名</v>
      </c>
      <c r="H37" s="560"/>
      <c r="I37" s="560"/>
      <c r="J37" s="560"/>
      <c r="K37" s="560"/>
      <c r="L37" s="560"/>
      <c r="M37" s="11" t="s">
        <v>97</v>
      </c>
    </row>
    <row r="38" spans="1:13" ht="23.4" customHeight="1" x14ac:dyDescent="0.45">
      <c r="A38" s="301"/>
      <c r="B38" s="72"/>
      <c r="C38" s="72"/>
      <c r="D38" s="72"/>
      <c r="E38" s="72"/>
      <c r="F38" s="305" t="s">
        <v>219</v>
      </c>
      <c r="G38" s="560" t="str">
        <f>IF(実績入力フォーム!B38="", "　　　　月　　　　日", TEXT(実績入力フォーム!B38,"m月d日"))</f>
        <v>9月6日</v>
      </c>
      <c r="H38" s="560"/>
      <c r="I38" s="560"/>
      <c r="J38" s="560"/>
      <c r="K38" s="560"/>
      <c r="L38" s="560"/>
      <c r="M38" s="11" t="s">
        <v>97</v>
      </c>
    </row>
    <row r="39" spans="1:13" ht="23.4" customHeight="1" x14ac:dyDescent="0.45">
      <c r="A39" s="72"/>
      <c r="B39" s="72"/>
      <c r="C39" s="72"/>
      <c r="D39" s="72"/>
      <c r="E39" s="72"/>
      <c r="F39" s="304" t="s">
        <v>216</v>
      </c>
      <c r="G39" s="560" t="str">
        <f>実績入力フォーム!B39&amp;""</f>
        <v>チラシ、回覧板、HP・SNS</v>
      </c>
      <c r="H39" s="560"/>
      <c r="I39" s="560"/>
      <c r="J39" s="560"/>
      <c r="K39" s="560"/>
      <c r="L39" s="560"/>
      <c r="M39" s="11" t="s">
        <v>97</v>
      </c>
    </row>
    <row r="40" spans="1:13" ht="23.4" customHeight="1" x14ac:dyDescent="0.45">
      <c r="A40" s="72"/>
      <c r="B40" s="558" t="s">
        <v>217</v>
      </c>
      <c r="C40" s="558"/>
      <c r="D40" s="558"/>
      <c r="E40" s="558"/>
      <c r="F40" s="304" t="s">
        <v>214</v>
      </c>
      <c r="G40" s="560" t="str">
        <f>実績入力フォーム!F40&amp;実績入力フォーム!F41&amp;実績入力フォーム!F42&amp;実績入力フォーム!F43&amp;実績入力フォーム!F44&amp;""</f>
        <v>10月18日</v>
      </c>
      <c r="H40" s="560"/>
      <c r="I40" s="560"/>
      <c r="J40" s="560"/>
      <c r="K40" s="560"/>
      <c r="L40" s="560"/>
      <c r="M40" s="11" t="s">
        <v>97</v>
      </c>
    </row>
    <row r="41" spans="1:13" ht="23.4" customHeight="1" x14ac:dyDescent="0.45">
      <c r="A41" s="72"/>
      <c r="B41" s="72"/>
      <c r="C41" s="72"/>
      <c r="D41" s="72"/>
      <c r="E41" s="72"/>
      <c r="F41" s="72"/>
      <c r="G41" s="560" t="str">
        <f>実績入力フォーム!F45&amp;""</f>
        <v/>
      </c>
      <c r="H41" s="560"/>
      <c r="I41" s="560"/>
      <c r="J41" s="560"/>
      <c r="K41" s="560"/>
      <c r="L41" s="560"/>
      <c r="M41" s="11" t="s">
        <v>97</v>
      </c>
    </row>
    <row r="42" spans="1:13" ht="23.4" customHeight="1" x14ac:dyDescent="0.45">
      <c r="A42" s="301"/>
      <c r="B42" s="72"/>
      <c r="C42" s="72"/>
      <c r="D42" s="72"/>
      <c r="E42" s="72"/>
      <c r="F42" s="304" t="s">
        <v>22</v>
      </c>
      <c r="G42" s="560" t="str">
        <f>実績入力フォーム!B46&amp;""</f>
        <v>東京一丁目町会会館</v>
      </c>
      <c r="H42" s="560"/>
      <c r="I42" s="560"/>
      <c r="J42" s="560"/>
      <c r="K42" s="560"/>
      <c r="L42" s="560"/>
      <c r="M42" s="11" t="s">
        <v>97</v>
      </c>
    </row>
    <row r="43" spans="1:13" ht="8.4" customHeight="1" x14ac:dyDescent="0.45">
      <c r="A43" s="72"/>
      <c r="B43" s="72"/>
      <c r="C43" s="72"/>
      <c r="D43" s="72"/>
      <c r="E43" s="72"/>
      <c r="F43" s="72"/>
      <c r="G43" s="72"/>
      <c r="H43" s="72"/>
      <c r="I43" s="72"/>
      <c r="J43" s="72"/>
      <c r="K43" s="72"/>
      <c r="L43" s="72"/>
    </row>
    <row r="44" spans="1:13" ht="14.4" x14ac:dyDescent="0.45">
      <c r="A44" s="302" t="s">
        <v>220</v>
      </c>
      <c r="B44" s="72" t="s">
        <v>221</v>
      </c>
      <c r="C44" s="72"/>
      <c r="D44" s="72"/>
      <c r="E44" s="72"/>
      <c r="F44" s="72"/>
      <c r="G44" s="72"/>
      <c r="H44" s="72"/>
      <c r="I44" s="72"/>
      <c r="J44" s="72"/>
      <c r="K44" s="72"/>
      <c r="L44" s="72"/>
    </row>
    <row r="45" spans="1:13" ht="14.4" x14ac:dyDescent="0.45">
      <c r="A45" s="302"/>
      <c r="B45" s="72" t="s">
        <v>283</v>
      </c>
      <c r="C45" s="72"/>
      <c r="D45" s="72"/>
      <c r="E45" s="72"/>
      <c r="F45" s="72"/>
      <c r="G45" s="72"/>
      <c r="H45" s="72"/>
      <c r="I45" s="72"/>
      <c r="J45" s="72"/>
      <c r="K45" s="72"/>
      <c r="L45" s="72"/>
    </row>
    <row r="46" spans="1:13" ht="14.4" x14ac:dyDescent="0.45">
      <c r="A46" s="72" t="s">
        <v>222</v>
      </c>
      <c r="B46" s="72" t="s">
        <v>391</v>
      </c>
      <c r="C46" s="72"/>
      <c r="D46" s="72"/>
      <c r="E46" s="72"/>
      <c r="F46" s="72"/>
      <c r="G46" s="72"/>
      <c r="H46" s="72"/>
      <c r="I46" s="72"/>
      <c r="J46" s="72"/>
      <c r="K46" s="72"/>
      <c r="L46" s="72"/>
    </row>
    <row r="47" spans="1:13" ht="28.2" customHeight="1" x14ac:dyDescent="0.45">
      <c r="A47" s="301"/>
      <c r="B47" s="557" t="s">
        <v>393</v>
      </c>
      <c r="C47" s="558"/>
      <c r="D47" s="558"/>
      <c r="E47" s="74" t="str">
        <f>IF(実績入力フォーム!B48="☑","☑","□")</f>
        <v>□</v>
      </c>
      <c r="F47" s="262" t="s">
        <v>223</v>
      </c>
      <c r="G47" s="72" t="str">
        <f>IF(実績入力フォーム!B49="","(　　　 部配布)","("&amp;TEXT(実績入力フォーム!B49,"###,0部配布"&amp;")"))</f>
        <v>(　　　 部配布)</v>
      </c>
      <c r="H47" s="72"/>
      <c r="I47" s="74" t="str">
        <f>IF(実績入力フォーム!B50="☑","☑","□")</f>
        <v>□</v>
      </c>
      <c r="J47" s="72" t="s">
        <v>224</v>
      </c>
      <c r="K47" s="72"/>
      <c r="L47" s="72"/>
      <c r="M47" s="11" t="s">
        <v>97</v>
      </c>
    </row>
    <row r="48" spans="1:13" ht="23.4" customHeight="1" x14ac:dyDescent="0.45">
      <c r="A48" s="72"/>
      <c r="B48" s="72"/>
      <c r="C48" s="72"/>
      <c r="D48" s="72"/>
      <c r="E48" s="74" t="str">
        <f>IF(実績入力フォーム!B51="","□","☑")</f>
        <v>□</v>
      </c>
      <c r="F48" s="306" t="s">
        <v>40</v>
      </c>
      <c r="G48" s="306" t="str">
        <f>IF(実績入力フォーム!B51="", "(　　　　　　　　　　　　　　　　　　　　　　　　)","("&amp;実績入力フォーム!B51&amp;")")</f>
        <v>(　　　　　　　　　　　　　　　　　　　　　　　　)</v>
      </c>
      <c r="H48" s="72"/>
      <c r="I48" s="74"/>
      <c r="J48" s="72"/>
      <c r="K48" s="72"/>
      <c r="L48" s="72"/>
      <c r="M48" s="11" t="s">
        <v>97</v>
      </c>
    </row>
    <row r="49" spans="1:13" ht="48.6" customHeight="1" x14ac:dyDescent="0.45">
      <c r="A49" s="72"/>
      <c r="B49" s="72"/>
      <c r="C49" s="72"/>
      <c r="D49" s="72"/>
      <c r="E49" s="74"/>
      <c r="F49" s="306"/>
      <c r="G49" s="306"/>
      <c r="H49" s="72"/>
      <c r="I49" s="74"/>
      <c r="J49" s="72"/>
      <c r="K49" s="72"/>
      <c r="L49" s="72"/>
    </row>
    <row r="50" spans="1:13" ht="28.2" customHeight="1" x14ac:dyDescent="0.45">
      <c r="A50" s="72"/>
      <c r="B50" s="557" t="s">
        <v>389</v>
      </c>
      <c r="C50" s="558"/>
      <c r="D50" s="558"/>
      <c r="E50" s="74" t="str">
        <f>IF(実績入力フォーム!B52="☑","☑","□")</f>
        <v>□</v>
      </c>
      <c r="F50" s="307" t="s">
        <v>61</v>
      </c>
      <c r="G50" s="306" t="str">
        <f>IF(実績入力フォーム!B53="","(　　　 部配布)","("&amp;TEXT(実績入力フォーム!B53,"###,0部配布"&amp;")"))</f>
        <v>(　　　 部配布)</v>
      </c>
      <c r="H50" s="72"/>
      <c r="I50" s="74" t="str">
        <f>IF(実績入力フォーム!B54="☑","☑","□")</f>
        <v>□</v>
      </c>
      <c r="J50" s="262" t="s">
        <v>225</v>
      </c>
      <c r="K50" s="525" t="str">
        <f>IF(実績入力フォーム!B55="","(　　 　部作成)","("&amp;TEXT(実績入力フォーム!B55,"###,0部作成"&amp;")"))</f>
        <v>(　　 　部作成)</v>
      </c>
      <c r="L50" s="525"/>
      <c r="M50" s="11" t="s">
        <v>97</v>
      </c>
    </row>
    <row r="51" spans="1:13" ht="23.4" customHeight="1" x14ac:dyDescent="0.45">
      <c r="A51" s="72"/>
      <c r="B51" s="308"/>
      <c r="C51" s="308"/>
      <c r="D51" s="308"/>
      <c r="E51" s="309" t="str">
        <f>IF(実績入力フォーム!B56="☑","☑","□")</f>
        <v>□</v>
      </c>
      <c r="F51" s="72" t="s">
        <v>226</v>
      </c>
      <c r="G51" s="72"/>
      <c r="H51" s="72"/>
      <c r="I51" s="74" t="str">
        <f>IF(実績入力フォーム!B57="☑","☑","□")</f>
        <v>□</v>
      </c>
      <c r="J51" s="72" t="s">
        <v>63</v>
      </c>
      <c r="K51" s="72"/>
      <c r="L51" s="72"/>
      <c r="M51" s="11" t="s">
        <v>97</v>
      </c>
    </row>
    <row r="52" spans="1:13" ht="23.4" customHeight="1" x14ac:dyDescent="0.45">
      <c r="A52" s="72"/>
      <c r="B52" s="308"/>
      <c r="C52" s="308"/>
      <c r="D52" s="308"/>
      <c r="E52" s="74" t="str">
        <f>IF(実績入力フォーム!B58="","□","☑")</f>
        <v>□</v>
      </c>
      <c r="F52" s="306" t="s">
        <v>40</v>
      </c>
      <c r="G52" s="306" t="str">
        <f>IF(実績入力フォーム!B58="", "(　　　　　　　　　　　　　　　　　　　　　　　　)","("&amp;実績入力フォーム!B58&amp;")")</f>
        <v>(　　　　　　　　　　　　　　　　　　　　　　　　)</v>
      </c>
      <c r="H52" s="72"/>
      <c r="I52" s="74"/>
      <c r="J52" s="72"/>
      <c r="K52" s="72"/>
      <c r="L52" s="72"/>
    </row>
    <row r="53" spans="1:13" ht="14.4" x14ac:dyDescent="0.45">
      <c r="A53" s="72"/>
      <c r="B53" s="72" t="s">
        <v>227</v>
      </c>
      <c r="C53" s="72"/>
      <c r="D53" s="310"/>
      <c r="E53" s="311" t="s">
        <v>284</v>
      </c>
      <c r="F53" s="306"/>
      <c r="G53" s="306"/>
      <c r="H53" s="72"/>
      <c r="I53" s="74"/>
      <c r="J53" s="72"/>
      <c r="K53" s="72"/>
      <c r="L53" s="72"/>
    </row>
    <row r="54" spans="1:13" ht="14.4" x14ac:dyDescent="0.45">
      <c r="A54" s="72"/>
      <c r="B54" s="72"/>
      <c r="C54" s="72"/>
      <c r="D54" s="573" t="str">
        <f>実績入力フォーム!B59&amp;""</f>
        <v/>
      </c>
      <c r="E54" s="573"/>
      <c r="F54" s="573"/>
      <c r="G54" s="573"/>
      <c r="H54" s="573"/>
      <c r="I54" s="573"/>
      <c r="J54" s="573"/>
      <c r="K54" s="573"/>
      <c r="L54" s="573"/>
    </row>
    <row r="55" spans="1:13" ht="14.4" x14ac:dyDescent="0.45">
      <c r="A55" s="72"/>
      <c r="B55" s="72"/>
      <c r="C55" s="72"/>
      <c r="D55" s="574"/>
      <c r="E55" s="574"/>
      <c r="F55" s="574"/>
      <c r="G55" s="574"/>
      <c r="H55" s="574"/>
      <c r="I55" s="574"/>
      <c r="J55" s="574"/>
      <c r="K55" s="574"/>
      <c r="L55" s="574"/>
      <c r="M55" s="11" t="s">
        <v>97</v>
      </c>
    </row>
    <row r="56" spans="1:13" ht="8.4" customHeight="1" x14ac:dyDescent="0.45">
      <c r="A56" s="72"/>
      <c r="B56" s="72"/>
      <c r="C56" s="72"/>
      <c r="D56" s="312"/>
      <c r="E56" s="312"/>
      <c r="F56" s="312"/>
      <c r="G56" s="312"/>
      <c r="H56" s="312"/>
      <c r="I56" s="312"/>
      <c r="J56" s="312"/>
      <c r="K56" s="312"/>
      <c r="L56" s="312"/>
    </row>
    <row r="57" spans="1:13" ht="14.4" x14ac:dyDescent="0.45">
      <c r="A57" s="72" t="s">
        <v>228</v>
      </c>
      <c r="B57" s="72" t="s">
        <v>392</v>
      </c>
      <c r="C57" s="72"/>
      <c r="D57" s="72"/>
      <c r="E57" s="72"/>
      <c r="F57" s="72"/>
      <c r="G57" s="72"/>
      <c r="H57" s="72"/>
      <c r="I57" s="72"/>
      <c r="J57" s="72"/>
      <c r="K57" s="72"/>
      <c r="L57" s="72"/>
    </row>
    <row r="58" spans="1:13" ht="14.4" x14ac:dyDescent="0.45">
      <c r="A58" s="72"/>
      <c r="B58" s="72" t="s">
        <v>232</v>
      </c>
      <c r="C58" s="72"/>
      <c r="D58" s="72"/>
      <c r="E58" s="72"/>
      <c r="F58" s="72"/>
      <c r="G58" s="72"/>
      <c r="H58" s="72"/>
      <c r="I58" s="72"/>
      <c r="J58" s="72"/>
      <c r="K58" s="72"/>
      <c r="L58" s="72"/>
    </row>
    <row r="59" spans="1:13" ht="23.4" customHeight="1" x14ac:dyDescent="0.45">
      <c r="A59" s="72"/>
      <c r="B59" s="74"/>
      <c r="C59" s="295" t="str">
        <f>IF(実績入力フォーム!B61="☑","☑","□")</f>
        <v>□</v>
      </c>
      <c r="D59" s="72" t="s">
        <v>229</v>
      </c>
      <c r="E59" s="72"/>
      <c r="F59" s="72"/>
      <c r="G59" s="72"/>
      <c r="H59" s="72"/>
      <c r="I59" s="72"/>
      <c r="J59" s="72"/>
      <c r="K59" s="72"/>
      <c r="L59" s="72"/>
      <c r="M59" s="11" t="s">
        <v>97</v>
      </c>
    </row>
    <row r="60" spans="1:13" ht="23.4" customHeight="1" x14ac:dyDescent="0.45">
      <c r="A60" s="72"/>
      <c r="B60" s="74"/>
      <c r="C60" s="295" t="str">
        <f>IF(実績入力フォーム!B62="☑","☑","□")</f>
        <v>□</v>
      </c>
      <c r="D60" s="72" t="s">
        <v>385</v>
      </c>
      <c r="E60" s="72"/>
      <c r="F60" s="72"/>
      <c r="G60" s="72"/>
      <c r="H60" s="72"/>
      <c r="I60" s="72"/>
      <c r="J60" s="72"/>
      <c r="K60" s="72"/>
      <c r="L60" s="72"/>
      <c r="M60" s="11" t="s">
        <v>97</v>
      </c>
    </row>
    <row r="61" spans="1:13" ht="23.4" customHeight="1" x14ac:dyDescent="0.45">
      <c r="A61" s="72"/>
      <c r="B61" s="74"/>
      <c r="C61" s="295"/>
      <c r="D61" s="72" t="s">
        <v>386</v>
      </c>
      <c r="E61" s="72"/>
      <c r="F61" s="72"/>
      <c r="G61" s="72"/>
      <c r="H61" s="72"/>
      <c r="I61" s="72"/>
      <c r="J61" s="72"/>
      <c r="K61" s="72"/>
      <c r="L61" s="72"/>
    </row>
    <row r="62" spans="1:13" ht="23.4" customHeight="1" x14ac:dyDescent="0.45">
      <c r="A62" s="72"/>
      <c r="B62" s="74"/>
      <c r="C62" s="295" t="str">
        <f>IF(実績入力フォーム!B63="☑","☑","□")</f>
        <v>□</v>
      </c>
      <c r="D62" s="72" t="s">
        <v>230</v>
      </c>
      <c r="E62" s="72"/>
      <c r="F62" s="72"/>
      <c r="G62" s="72"/>
      <c r="H62" s="72"/>
      <c r="I62" s="72"/>
      <c r="J62" s="72"/>
      <c r="K62" s="72"/>
      <c r="L62" s="72"/>
      <c r="M62" s="11" t="s">
        <v>97</v>
      </c>
    </row>
    <row r="63" spans="1:13" ht="23.4" customHeight="1" x14ac:dyDescent="0.45">
      <c r="A63" s="72"/>
      <c r="B63" s="74"/>
      <c r="C63" s="295" t="str">
        <f>IF(実績入力フォーム!B64="☑","☑","□")</f>
        <v>□</v>
      </c>
      <c r="D63" s="72" t="s">
        <v>231</v>
      </c>
      <c r="E63" s="72"/>
      <c r="F63" s="72"/>
      <c r="G63" s="72"/>
      <c r="H63" s="72"/>
      <c r="I63" s="72"/>
      <c r="J63" s="72"/>
      <c r="K63" s="72"/>
      <c r="L63" s="72"/>
      <c r="M63" s="11" t="s">
        <v>97</v>
      </c>
    </row>
    <row r="64" spans="1:13" ht="23.4" customHeight="1" x14ac:dyDescent="0.45">
      <c r="A64" s="72"/>
      <c r="B64" s="74"/>
      <c r="C64" s="295" t="str">
        <f>IF(実績入力フォーム!B65="","□","☑")</f>
        <v>□</v>
      </c>
      <c r="D64" s="72" t="s">
        <v>40</v>
      </c>
      <c r="E64" s="72" t="str">
        <f>IF(実績入力フォーム!B65="", "(　　　　　　　　　　　　　　　　　　　　　　　　　　　　　　　　　　　)","("&amp;実績入力フォーム!B65&amp;")")</f>
        <v>(　　　　　　　　　　　　　　　　　　　　　　　　　　　　　　　　　　　)</v>
      </c>
      <c r="F64" s="72"/>
      <c r="G64" s="72"/>
      <c r="H64" s="72"/>
      <c r="I64" s="72"/>
      <c r="J64" s="72"/>
      <c r="K64" s="72"/>
      <c r="L64" s="72"/>
      <c r="M64" s="11" t="s">
        <v>97</v>
      </c>
    </row>
    <row r="65" spans="1:13" ht="14.4" x14ac:dyDescent="0.45">
      <c r="A65" s="72"/>
      <c r="B65" s="72" t="s">
        <v>233</v>
      </c>
      <c r="C65" s="72"/>
      <c r="D65" s="72"/>
      <c r="E65" s="72"/>
      <c r="F65" s="72"/>
      <c r="G65" s="72"/>
      <c r="H65" s="72"/>
      <c r="I65" s="72"/>
      <c r="J65" s="72"/>
      <c r="K65" s="72"/>
      <c r="L65" s="72"/>
    </row>
    <row r="66" spans="1:13" ht="23.4" customHeight="1" x14ac:dyDescent="0.45">
      <c r="A66" s="72"/>
      <c r="B66" s="74"/>
      <c r="C66" s="74" t="str">
        <f>IF(実績入力フォーム!B67="☑","☑","□")</f>
        <v>□</v>
      </c>
      <c r="D66" s="72" t="s">
        <v>234</v>
      </c>
      <c r="E66" s="72"/>
      <c r="F66" s="72"/>
      <c r="G66" s="72"/>
      <c r="H66" s="72"/>
      <c r="I66" s="72"/>
      <c r="J66" s="72"/>
      <c r="K66" s="72"/>
      <c r="L66" s="72"/>
      <c r="M66" s="11" t="s">
        <v>97</v>
      </c>
    </row>
    <row r="67" spans="1:13" ht="23.4" customHeight="1" x14ac:dyDescent="0.45">
      <c r="A67" s="72"/>
      <c r="B67" s="74"/>
      <c r="C67" s="74" t="str">
        <f>IF(実績入力フォーム!B68="☑","☑","□")</f>
        <v>□</v>
      </c>
      <c r="D67" s="72" t="s">
        <v>235</v>
      </c>
      <c r="E67" s="72"/>
      <c r="F67" s="72"/>
      <c r="G67" s="72"/>
      <c r="H67" s="72"/>
      <c r="I67" s="72"/>
      <c r="J67" s="72"/>
      <c r="K67" s="72"/>
      <c r="L67" s="72"/>
      <c r="M67" s="11" t="s">
        <v>97</v>
      </c>
    </row>
    <row r="68" spans="1:13" ht="23.4" customHeight="1" x14ac:dyDescent="0.45">
      <c r="A68" s="72"/>
      <c r="B68" s="74"/>
      <c r="C68" s="74" t="str">
        <f>IF(実績入力フォーム!B69="☑","☑","□")</f>
        <v>□</v>
      </c>
      <c r="D68" s="72" t="s">
        <v>236</v>
      </c>
      <c r="E68" s="72"/>
      <c r="F68" s="72"/>
      <c r="G68" s="72"/>
      <c r="H68" s="72"/>
      <c r="I68" s="72"/>
      <c r="J68" s="72"/>
      <c r="K68" s="72"/>
      <c r="L68" s="72"/>
      <c r="M68" s="11" t="s">
        <v>97</v>
      </c>
    </row>
    <row r="69" spans="1:13" ht="23.4" customHeight="1" x14ac:dyDescent="0.45">
      <c r="A69" s="72"/>
      <c r="B69" s="74"/>
      <c r="C69" s="74" t="str">
        <f>IF(実績入力フォーム!B70="","□","☑")</f>
        <v>□</v>
      </c>
      <c r="D69" s="72" t="s">
        <v>40</v>
      </c>
      <c r="E69" s="72" t="str">
        <f>IF(実績入力フォーム!B70="", "(　　　　　　　　　　　　　　　　　　　　　　　　　　　　　　　　　　　)","("&amp;実績入力フォーム!B70&amp;")")</f>
        <v>(　　　　　　　　　　　　　　　　　　　　　　　　　　　　　　　　　　　)</v>
      </c>
      <c r="F69" s="72"/>
      <c r="G69" s="72"/>
      <c r="H69" s="72"/>
      <c r="I69" s="72"/>
      <c r="J69" s="72"/>
      <c r="K69" s="72"/>
      <c r="L69" s="72"/>
      <c r="M69" s="11" t="s">
        <v>97</v>
      </c>
    </row>
    <row r="70" spans="1:13" ht="8.4" customHeight="1" x14ac:dyDescent="0.45">
      <c r="A70" s="72"/>
      <c r="B70" s="72"/>
      <c r="C70" s="72"/>
      <c r="D70" s="72"/>
      <c r="E70" s="72"/>
      <c r="F70" s="72"/>
      <c r="G70" s="72"/>
      <c r="H70" s="72"/>
      <c r="I70" s="72"/>
      <c r="J70" s="72"/>
      <c r="K70" s="72"/>
      <c r="L70" s="72"/>
    </row>
    <row r="71" spans="1:13" ht="14.4" x14ac:dyDescent="0.45">
      <c r="A71" s="302" t="s">
        <v>237</v>
      </c>
      <c r="B71" s="72" t="s">
        <v>238</v>
      </c>
      <c r="C71" s="72"/>
      <c r="D71" s="72"/>
      <c r="E71" s="72"/>
      <c r="F71" s="72"/>
      <c r="G71" s="72"/>
      <c r="H71" s="72"/>
      <c r="I71" s="72"/>
      <c r="J71" s="72"/>
      <c r="K71" s="72"/>
      <c r="L71" s="72"/>
    </row>
    <row r="72" spans="1:13" ht="23.4" customHeight="1" x14ac:dyDescent="0.45">
      <c r="A72" s="72"/>
      <c r="B72" s="74"/>
      <c r="C72" s="74" t="str">
        <f>IF(実績入力フォーム!B72="☑","☑","□")</f>
        <v>☑</v>
      </c>
      <c r="D72" s="72" t="s">
        <v>239</v>
      </c>
      <c r="E72" s="72"/>
      <c r="F72" s="72"/>
      <c r="G72" s="72"/>
      <c r="H72" s="72"/>
      <c r="I72" s="72"/>
      <c r="J72" s="72"/>
      <c r="K72" s="72"/>
      <c r="L72" s="72"/>
      <c r="M72" s="11" t="s">
        <v>97</v>
      </c>
    </row>
    <row r="73" spans="1:13" ht="23.4" customHeight="1" x14ac:dyDescent="0.45">
      <c r="A73" s="72"/>
      <c r="B73" s="74"/>
      <c r="C73" s="74" t="str">
        <f>IF(実績入力フォーム!B73="☑","☑","□")</f>
        <v>☑</v>
      </c>
      <c r="D73" s="72" t="s">
        <v>240</v>
      </c>
      <c r="E73" s="72"/>
      <c r="F73" s="72"/>
      <c r="G73" s="72"/>
      <c r="H73" s="72"/>
      <c r="I73" s="72"/>
      <c r="J73" s="72"/>
      <c r="K73" s="72"/>
      <c r="L73" s="72"/>
      <c r="M73" s="11" t="s">
        <v>97</v>
      </c>
    </row>
    <row r="74" spans="1:13" ht="23.4" customHeight="1" x14ac:dyDescent="0.45">
      <c r="A74" s="72"/>
      <c r="B74" s="72"/>
      <c r="C74" s="72"/>
      <c r="D74" s="72" t="s">
        <v>290</v>
      </c>
      <c r="E74" s="72"/>
      <c r="F74" s="74"/>
      <c r="G74" s="74" t="str">
        <f>IF(実績入力フォーム!B74="","世帯", TEXT(実績入力フォーム!B74,"#,##0世帯"))</f>
        <v>1世帯</v>
      </c>
      <c r="H74" s="72" t="s">
        <v>387</v>
      </c>
      <c r="I74" s="72"/>
      <c r="J74" s="72"/>
      <c r="K74" s="72"/>
      <c r="L74" s="72"/>
      <c r="M74" s="11" t="s">
        <v>97</v>
      </c>
    </row>
    <row r="75" spans="1:13" ht="23.4" customHeight="1" x14ac:dyDescent="0.45">
      <c r="A75" s="72"/>
      <c r="B75" s="74"/>
      <c r="C75" s="74" t="str">
        <f>IF(実績入力フォーム!B75="☑","☑","□")</f>
        <v>☑</v>
      </c>
      <c r="D75" s="72" t="s">
        <v>394</v>
      </c>
      <c r="E75" s="72"/>
      <c r="F75" s="72"/>
      <c r="G75" s="72"/>
      <c r="H75" s="72"/>
      <c r="I75" s="72"/>
      <c r="J75" s="72"/>
      <c r="K75" s="72"/>
      <c r="L75" s="72"/>
      <c r="M75" s="11" t="s">
        <v>97</v>
      </c>
    </row>
    <row r="76" spans="1:13" ht="23.4" customHeight="1" x14ac:dyDescent="0.45">
      <c r="A76" s="72"/>
      <c r="B76" s="74"/>
      <c r="C76" s="74"/>
      <c r="D76" s="72" t="s">
        <v>395</v>
      </c>
      <c r="E76" s="72"/>
      <c r="F76" s="72"/>
      <c r="G76" s="72"/>
      <c r="H76" s="72"/>
      <c r="I76" s="72"/>
      <c r="J76" s="72"/>
      <c r="K76" s="72"/>
      <c r="L76" s="72"/>
    </row>
    <row r="77" spans="1:13" ht="23.4" customHeight="1" x14ac:dyDescent="0.45">
      <c r="A77" s="72"/>
      <c r="B77" s="74"/>
      <c r="C77" s="74" t="str">
        <f>IF(実績入力フォーム!B76="☑","☑","□")</f>
        <v>□</v>
      </c>
      <c r="D77" s="72" t="s">
        <v>241</v>
      </c>
      <c r="E77" s="72"/>
      <c r="F77" s="72"/>
      <c r="G77" s="72"/>
      <c r="H77" s="72"/>
      <c r="I77" s="72"/>
      <c r="J77" s="72"/>
      <c r="K77" s="72"/>
      <c r="L77" s="72"/>
      <c r="M77" s="11" t="s">
        <v>97</v>
      </c>
    </row>
    <row r="78" spans="1:13" ht="23.4" customHeight="1" x14ac:dyDescent="0.45">
      <c r="A78" s="72"/>
      <c r="B78" s="74"/>
      <c r="C78" s="74" t="str">
        <f>IF(実績入力フォーム!B77="☑","☑","□")</f>
        <v>□</v>
      </c>
      <c r="D78" s="72" t="s">
        <v>396</v>
      </c>
      <c r="E78" s="72"/>
      <c r="F78" s="72"/>
      <c r="G78" s="72"/>
      <c r="H78" s="72"/>
      <c r="I78" s="72"/>
      <c r="J78" s="72"/>
      <c r="K78" s="72"/>
      <c r="L78" s="72"/>
      <c r="M78" s="11" t="s">
        <v>97</v>
      </c>
    </row>
    <row r="79" spans="1:13" ht="23.4" customHeight="1" x14ac:dyDescent="0.45">
      <c r="A79" s="72"/>
      <c r="B79" s="74"/>
      <c r="C79" s="74"/>
      <c r="D79" s="72" t="s">
        <v>388</v>
      </c>
      <c r="E79" s="72"/>
      <c r="F79" s="72"/>
      <c r="G79" s="72"/>
      <c r="H79" s="72"/>
      <c r="I79" s="72"/>
      <c r="J79" s="72"/>
      <c r="K79" s="72"/>
      <c r="L79" s="72"/>
    </row>
    <row r="80" spans="1:13" ht="14.4" x14ac:dyDescent="0.45">
      <c r="A80" s="72"/>
      <c r="B80" s="72"/>
      <c r="C80" s="72"/>
      <c r="D80" s="72" t="s">
        <v>425</v>
      </c>
      <c r="E80" s="72"/>
      <c r="F80" s="72"/>
      <c r="G80" s="72"/>
      <c r="H80" s="72"/>
      <c r="I80" s="72"/>
      <c r="J80" s="72"/>
      <c r="K80" s="72"/>
      <c r="L80" s="72"/>
    </row>
    <row r="81" spans="1:13" ht="14.4" x14ac:dyDescent="0.45">
      <c r="A81" s="72"/>
      <c r="B81" s="72"/>
      <c r="C81" s="72"/>
      <c r="D81" s="575" t="str">
        <f>実績入力フォーム!B78&amp;""</f>
        <v>中学校・高校への呼びかけを通じて参加してくれた世帯が町会に加入してくれた。</v>
      </c>
      <c r="E81" s="575"/>
      <c r="F81" s="575"/>
      <c r="G81" s="575"/>
      <c r="H81" s="575"/>
      <c r="I81" s="575"/>
      <c r="J81" s="575"/>
      <c r="K81" s="575"/>
      <c r="L81" s="575"/>
    </row>
    <row r="82" spans="1:13" ht="14.4" x14ac:dyDescent="0.45">
      <c r="A82" s="72"/>
      <c r="B82" s="72"/>
      <c r="C82" s="72"/>
      <c r="D82" s="576"/>
      <c r="E82" s="576"/>
      <c r="F82" s="576"/>
      <c r="G82" s="576"/>
      <c r="H82" s="576"/>
      <c r="I82" s="576"/>
      <c r="J82" s="576"/>
      <c r="K82" s="576"/>
      <c r="L82" s="576"/>
      <c r="M82" s="11" t="s">
        <v>97</v>
      </c>
    </row>
    <row r="83" spans="1:13" ht="14.4" x14ac:dyDescent="0.45">
      <c r="A83" s="72"/>
      <c r="B83" s="72"/>
      <c r="C83" s="72"/>
      <c r="D83" s="72"/>
      <c r="E83" s="72"/>
      <c r="F83" s="72"/>
      <c r="G83" s="72"/>
      <c r="H83" s="72"/>
      <c r="I83" s="72"/>
      <c r="J83" s="72"/>
      <c r="K83" s="72"/>
      <c r="L83" s="72"/>
    </row>
    <row r="84" spans="1:13" ht="14.4" x14ac:dyDescent="0.45">
      <c r="A84" s="302" t="s">
        <v>242</v>
      </c>
      <c r="B84" s="72" t="s">
        <v>243</v>
      </c>
      <c r="C84" s="72"/>
      <c r="D84" s="72"/>
      <c r="E84" s="72"/>
      <c r="F84" s="72"/>
      <c r="G84" s="72" t="s">
        <v>390</v>
      </c>
      <c r="H84" s="72"/>
      <c r="I84" s="72"/>
      <c r="J84" s="72"/>
      <c r="K84" s="72"/>
      <c r="L84" s="72"/>
    </row>
    <row r="85" spans="1:13" ht="8.4" customHeight="1" x14ac:dyDescent="0.45">
      <c r="A85" s="72"/>
      <c r="B85" s="72"/>
      <c r="C85" s="72"/>
      <c r="D85" s="72"/>
      <c r="E85" s="72"/>
      <c r="F85" s="72"/>
      <c r="G85" s="72"/>
      <c r="H85" s="72"/>
      <c r="I85" s="72"/>
      <c r="J85" s="72"/>
      <c r="K85" s="72"/>
      <c r="L85" s="72"/>
    </row>
    <row r="86" spans="1:13" ht="27" customHeight="1" x14ac:dyDescent="0.45">
      <c r="A86" s="302" t="s">
        <v>244</v>
      </c>
      <c r="B86" s="72" t="s">
        <v>245</v>
      </c>
      <c r="C86" s="72"/>
      <c r="D86" s="72"/>
      <c r="E86" s="556" t="str">
        <f>実績入力フォーム!B79&amp;""</f>
        <v/>
      </c>
      <c r="F86" s="556"/>
      <c r="G86" s="556"/>
      <c r="H86" s="556"/>
      <c r="I86" s="556"/>
      <c r="J86" s="556"/>
      <c r="K86" s="556"/>
      <c r="L86" s="556"/>
      <c r="M86" s="11" t="s">
        <v>97</v>
      </c>
    </row>
    <row r="87" spans="1:13" ht="14.4" x14ac:dyDescent="0.45">
      <c r="A87" s="72"/>
      <c r="B87" s="72"/>
      <c r="C87" s="72"/>
      <c r="D87" s="72"/>
      <c r="E87" s="72"/>
      <c r="F87" s="72"/>
      <c r="G87" s="72"/>
      <c r="H87" s="72"/>
      <c r="I87" s="72"/>
      <c r="J87" s="72"/>
      <c r="K87" s="72"/>
      <c r="L87" s="72"/>
    </row>
    <row r="88" spans="1:13" ht="25.8" customHeight="1" x14ac:dyDescent="0.45">
      <c r="A88" s="302" t="s">
        <v>7</v>
      </c>
      <c r="B88" s="72" t="s">
        <v>246</v>
      </c>
      <c r="C88" s="72"/>
      <c r="D88" s="72"/>
      <c r="E88" s="578" t="str">
        <f>IF(決算書!K69="","金　　　　　　　円","金"&amp;DBCS(TEXT(決算書!K69,"#,##0"))&amp;"円")</f>
        <v>金２６２，４００円</v>
      </c>
      <c r="F88" s="578"/>
      <c r="G88" s="313"/>
      <c r="H88" s="72"/>
      <c r="I88" s="72"/>
      <c r="J88" s="72"/>
      <c r="K88" s="72"/>
      <c r="L88" s="72"/>
      <c r="M88" s="11" t="s">
        <v>97</v>
      </c>
    </row>
    <row r="89" spans="1:13" ht="14.4" x14ac:dyDescent="0.45">
      <c r="A89" s="72"/>
      <c r="B89" s="72"/>
      <c r="C89" s="72"/>
      <c r="D89" s="72"/>
      <c r="E89" s="72" t="s">
        <v>247</v>
      </c>
      <c r="F89" s="72"/>
      <c r="G89" s="72"/>
      <c r="H89" s="72"/>
      <c r="I89" s="72"/>
      <c r="J89" s="72"/>
      <c r="K89" s="72"/>
      <c r="L89" s="72"/>
    </row>
    <row r="90" spans="1:13" ht="14.4" x14ac:dyDescent="0.45">
      <c r="A90" s="72"/>
      <c r="B90" s="72"/>
      <c r="C90" s="72"/>
      <c r="D90" s="72"/>
      <c r="E90" s="72" t="s">
        <v>248</v>
      </c>
      <c r="F90" s="72"/>
      <c r="G90" s="72"/>
      <c r="H90" s="72"/>
      <c r="I90" s="72"/>
      <c r="J90" s="72"/>
      <c r="K90" s="72"/>
      <c r="L90" s="72"/>
    </row>
  </sheetData>
  <sheetProtection sheet="1" objects="1" scenarios="1"/>
  <dataConsolidate/>
  <mergeCells count="41">
    <mergeCell ref="D54:L55"/>
    <mergeCell ref="D81:L82"/>
    <mergeCell ref="J6:L6"/>
    <mergeCell ref="E86:L86"/>
    <mergeCell ref="E88:F88"/>
    <mergeCell ref="I12:L12"/>
    <mergeCell ref="I14:L14"/>
    <mergeCell ref="I17:L17"/>
    <mergeCell ref="A22:L22"/>
    <mergeCell ref="G18:L18"/>
    <mergeCell ref="E17:G17"/>
    <mergeCell ref="E9:G9"/>
    <mergeCell ref="E11:G11"/>
    <mergeCell ref="E10:G10"/>
    <mergeCell ref="E16:G16"/>
    <mergeCell ref="G39:L39"/>
    <mergeCell ref="E15:G15"/>
    <mergeCell ref="E14:G14"/>
    <mergeCell ref="D13:L13"/>
    <mergeCell ref="H10:H11"/>
    <mergeCell ref="I10:L11"/>
    <mergeCell ref="D10:D11"/>
    <mergeCell ref="D15:D16"/>
    <mergeCell ref="H15:H16"/>
    <mergeCell ref="I15:L16"/>
    <mergeCell ref="I9:K9"/>
    <mergeCell ref="K50:L50"/>
    <mergeCell ref="F28:L28"/>
    <mergeCell ref="B50:D50"/>
    <mergeCell ref="B35:E35"/>
    <mergeCell ref="B40:E40"/>
    <mergeCell ref="B47:D47"/>
    <mergeCell ref="G40:L40"/>
    <mergeCell ref="G41:L41"/>
    <mergeCell ref="G42:L42"/>
    <mergeCell ref="F30:L30"/>
    <mergeCell ref="F32:L32"/>
    <mergeCell ref="G35:L35"/>
    <mergeCell ref="G36:L36"/>
    <mergeCell ref="G37:L37"/>
    <mergeCell ref="G38:L38"/>
  </mergeCells>
  <phoneticPr fontId="1"/>
  <pageMargins left="0.51181102362204722" right="0.51181102362204722" top="0.39370078740157483" bottom="0.39370078740157483" header="0.31496062992125984" footer="0.31496062992125984"/>
  <pageSetup paperSize="9" scale="92" orientation="portrait" r:id="rId1"/>
  <rowBreaks count="2" manualBreakCount="2">
    <brk id="48" max="11" man="1"/>
    <brk id="90" max="10" man="1"/>
  </rowBreaks>
  <colBreaks count="1" manualBreakCount="1">
    <brk id="16"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73"/>
  <sheetViews>
    <sheetView view="pageBreakPreview" topLeftCell="C37" zoomScaleNormal="100" zoomScaleSheetLayoutView="100" workbookViewId="0">
      <selection activeCell="J3" sqref="J3:L3"/>
    </sheetView>
  </sheetViews>
  <sheetFormatPr defaultRowHeight="13.2" x14ac:dyDescent="0.45"/>
  <cols>
    <col min="1" max="1" width="0.8984375" style="60" customWidth="1"/>
    <col min="2" max="4" width="2" style="60" customWidth="1"/>
    <col min="5" max="5" width="4.296875" style="60" customWidth="1"/>
    <col min="6" max="6" width="7.296875" style="60" customWidth="1"/>
    <col min="7" max="7" width="26.19921875" style="60" customWidth="1"/>
    <col min="8" max="8" width="7.5" style="60" customWidth="1"/>
    <col min="9" max="10" width="13.3984375" style="60" customWidth="1"/>
    <col min="11" max="11" width="7.5" style="60" customWidth="1"/>
    <col min="12" max="12" width="5.19921875" style="61" customWidth="1"/>
    <col min="13" max="13" width="1.296875" style="60" customWidth="1"/>
    <col min="14" max="14" width="0.59765625" style="60" customWidth="1"/>
    <col min="15" max="16384" width="8.796875" style="60"/>
  </cols>
  <sheetData>
    <row r="1" spans="1:14" ht="6.15" customHeight="1" x14ac:dyDescent="0.45"/>
    <row r="2" spans="1:14" ht="19.8" thickBot="1" x14ac:dyDescent="0.5">
      <c r="B2" s="62" t="s">
        <v>189</v>
      </c>
    </row>
    <row r="3" spans="1:14" ht="16.8" customHeight="1" thickBot="1" x14ac:dyDescent="0.5">
      <c r="A3" s="62"/>
      <c r="B3" s="62"/>
      <c r="C3" s="62"/>
      <c r="D3" s="62"/>
      <c r="E3" s="62"/>
      <c r="F3" s="62"/>
      <c r="G3" s="116"/>
      <c r="H3" s="117"/>
      <c r="I3" s="63" t="s">
        <v>263</v>
      </c>
      <c r="J3" s="584" t="str">
        <f>入力フォーム!B2&amp;""</f>
        <v>東京一丁目町会</v>
      </c>
      <c r="K3" s="584"/>
      <c r="L3" s="585"/>
      <c r="N3" s="61"/>
    </row>
    <row r="4" spans="1:14" ht="14.1" customHeight="1" thickBot="1" x14ac:dyDescent="0.5">
      <c r="K4" s="64"/>
      <c r="L4" s="64" t="s">
        <v>262</v>
      </c>
    </row>
    <row r="5" spans="1:14" ht="21.6" customHeight="1" x14ac:dyDescent="0.45">
      <c r="B5" s="594" t="s">
        <v>133</v>
      </c>
      <c r="C5" s="595"/>
      <c r="D5" s="595"/>
      <c r="E5" s="595"/>
      <c r="F5" s="591"/>
      <c r="G5" s="84" t="s">
        <v>266</v>
      </c>
      <c r="H5" s="84" t="s">
        <v>202</v>
      </c>
      <c r="I5" s="590" t="s">
        <v>267</v>
      </c>
      <c r="J5" s="591"/>
      <c r="K5" s="85" t="s">
        <v>203</v>
      </c>
      <c r="L5" s="110"/>
    </row>
    <row r="6" spans="1:14" ht="2.4" customHeight="1" x14ac:dyDescent="0.45">
      <c r="B6" s="35"/>
      <c r="C6" s="32"/>
      <c r="D6" s="32"/>
      <c r="E6" s="32"/>
      <c r="F6" s="32"/>
      <c r="G6" s="55"/>
      <c r="H6" s="86"/>
      <c r="I6" s="55"/>
      <c r="J6" s="113"/>
      <c r="K6" s="120"/>
      <c r="L6" s="111"/>
    </row>
    <row r="7" spans="1:14" ht="13.2" customHeight="1" x14ac:dyDescent="0.45">
      <c r="B7" s="35" t="s">
        <v>136</v>
      </c>
      <c r="C7" s="32"/>
      <c r="D7" s="32"/>
      <c r="E7" s="32"/>
      <c r="F7" s="32"/>
      <c r="G7" s="56"/>
      <c r="H7" s="86"/>
      <c r="I7" s="86"/>
      <c r="J7" s="113"/>
      <c r="K7" s="120"/>
      <c r="L7" s="111"/>
    </row>
    <row r="8" spans="1:14" ht="13.2" customHeight="1" x14ac:dyDescent="0.45">
      <c r="B8" s="35"/>
      <c r="C8" s="43" t="s">
        <v>190</v>
      </c>
      <c r="D8" s="43"/>
      <c r="E8" s="43"/>
      <c r="F8" s="43"/>
      <c r="G8" s="57" t="s">
        <v>191</v>
      </c>
      <c r="H8" s="140" t="str">
        <f>収支予算書!J8</f>
        <v>200,000</v>
      </c>
      <c r="I8" s="622" t="s">
        <v>303</v>
      </c>
      <c r="J8" s="623"/>
      <c r="K8" s="124">
        <f>IFERROR(実績入力フォーム!B296,"")</f>
        <v>200000</v>
      </c>
      <c r="L8" s="111"/>
    </row>
    <row r="9" spans="1:14" ht="13.2" customHeight="1" x14ac:dyDescent="0.45">
      <c r="B9" s="35"/>
      <c r="C9" s="58"/>
      <c r="D9" s="596" t="s">
        <v>139</v>
      </c>
      <c r="E9" s="596"/>
      <c r="F9" s="597"/>
      <c r="G9" s="56"/>
      <c r="H9" s="141"/>
      <c r="I9" s="624"/>
      <c r="J9" s="625"/>
      <c r="K9" s="129"/>
      <c r="L9" s="111"/>
    </row>
    <row r="10" spans="1:14" ht="13.2" customHeight="1" x14ac:dyDescent="0.45">
      <c r="B10" s="35"/>
      <c r="C10" s="32" t="s">
        <v>192</v>
      </c>
      <c r="D10" s="32"/>
      <c r="E10" s="32"/>
      <c r="F10" s="32"/>
      <c r="G10" s="57" t="s">
        <v>141</v>
      </c>
      <c r="H10" s="142" t="str">
        <f>収支予算書!J10</f>
        <v>62,400</v>
      </c>
      <c r="I10" s="622" t="s">
        <v>302</v>
      </c>
      <c r="J10" s="623"/>
      <c r="K10" s="125">
        <f>IFERROR(実績入力フォーム!B295,"")</f>
        <v>62400</v>
      </c>
      <c r="L10" s="111"/>
    </row>
    <row r="11" spans="1:14" ht="13.2" customHeight="1" x14ac:dyDescent="0.45">
      <c r="B11" s="35"/>
      <c r="C11" s="32"/>
      <c r="D11" s="32"/>
      <c r="E11" s="32"/>
      <c r="F11" s="32"/>
      <c r="G11" s="56" t="str">
        <f>収支予算書!G11</f>
        <v/>
      </c>
      <c r="H11" s="142" t="str">
        <f>収支予算書!J11</f>
        <v/>
      </c>
      <c r="I11" s="626" t="str">
        <f>実績入力フォーム!B290</f>
        <v/>
      </c>
      <c r="J11" s="627"/>
      <c r="K11" s="127" t="str">
        <f>実績入力フォーム!B291</f>
        <v/>
      </c>
      <c r="L11" s="111"/>
    </row>
    <row r="12" spans="1:14" ht="13.2" customHeight="1" x14ac:dyDescent="0.45">
      <c r="B12" s="35"/>
      <c r="C12" s="37" t="s">
        <v>142</v>
      </c>
      <c r="D12" s="37"/>
      <c r="E12" s="37"/>
      <c r="F12" s="37"/>
      <c r="G12" s="88"/>
      <c r="H12" s="143">
        <f>IFERROR(H8+H10+IF(H11="",0,H11), "")</f>
        <v>262400</v>
      </c>
      <c r="I12" s="628"/>
      <c r="J12" s="629"/>
      <c r="K12" s="126">
        <f>IFERROR(K8+K10+IF(K11="",0,K11), "")</f>
        <v>262400</v>
      </c>
      <c r="L12" s="112"/>
    </row>
    <row r="13" spans="1:14" ht="21.6" x14ac:dyDescent="0.45">
      <c r="B13" s="598" t="s">
        <v>143</v>
      </c>
      <c r="C13" s="599"/>
      <c r="D13" s="599"/>
      <c r="E13" s="599"/>
      <c r="F13" s="593"/>
      <c r="G13" s="89" t="s">
        <v>264</v>
      </c>
      <c r="H13" s="144" t="s">
        <v>202</v>
      </c>
      <c r="I13" s="592" t="s">
        <v>265</v>
      </c>
      <c r="J13" s="593"/>
      <c r="K13" s="130" t="s">
        <v>203</v>
      </c>
      <c r="L13" s="65" t="s">
        <v>193</v>
      </c>
    </row>
    <row r="14" spans="1:14" ht="2.4" customHeight="1" x14ac:dyDescent="0.45">
      <c r="B14" s="35"/>
      <c r="C14" s="32"/>
      <c r="D14" s="32"/>
      <c r="E14" s="32"/>
      <c r="F14" s="32"/>
      <c r="G14" s="90"/>
      <c r="H14" s="128"/>
      <c r="I14" s="115"/>
      <c r="J14" s="114"/>
      <c r="K14" s="131"/>
      <c r="L14" s="87"/>
    </row>
    <row r="15" spans="1:14" ht="13.2" customHeight="1" x14ac:dyDescent="0.45">
      <c r="B15" s="35" t="s">
        <v>146</v>
      </c>
      <c r="C15" s="32"/>
      <c r="D15" s="32"/>
      <c r="E15" s="32"/>
      <c r="F15" s="32"/>
      <c r="G15" s="90"/>
      <c r="H15" s="128"/>
      <c r="I15" s="91"/>
      <c r="J15" s="114"/>
      <c r="K15" s="131"/>
      <c r="L15" s="87"/>
    </row>
    <row r="16" spans="1:14" x14ac:dyDescent="0.45">
      <c r="B16" s="35"/>
      <c r="C16" s="32" t="s">
        <v>194</v>
      </c>
      <c r="D16" s="32"/>
      <c r="E16" s="32"/>
      <c r="F16" s="32"/>
      <c r="G16" s="90"/>
      <c r="H16" s="128"/>
      <c r="I16" s="91"/>
      <c r="J16" s="114"/>
      <c r="K16" s="131"/>
      <c r="L16" s="87"/>
    </row>
    <row r="17" spans="2:12" ht="13.2" customHeight="1" x14ac:dyDescent="0.45">
      <c r="B17" s="35"/>
      <c r="C17" s="43"/>
      <c r="D17" s="588" t="s">
        <v>195</v>
      </c>
      <c r="E17" s="588"/>
      <c r="F17" s="589"/>
      <c r="G17" s="92" t="str">
        <f>収支予算書!G17</f>
        <v>講座講師謝礼</v>
      </c>
      <c r="H17" s="145">
        <f>収支予算書!J17</f>
        <v>40000</v>
      </c>
      <c r="I17" s="600" t="str">
        <f>実績入力フォーム!B92&amp;""</f>
        <v>講座講師謝礼</v>
      </c>
      <c r="J17" s="601"/>
      <c r="K17" s="132">
        <f>IF(実績入力フォーム!B93="","", 実績入力フォーム!B93)</f>
        <v>40000</v>
      </c>
      <c r="L17" s="152" t="str">
        <f>実績入力フォーム!B94&amp;""</f>
        <v>1</v>
      </c>
    </row>
    <row r="18" spans="2:12" ht="13.2" customHeight="1" x14ac:dyDescent="0.45">
      <c r="B18" s="35"/>
      <c r="C18" s="32"/>
      <c r="D18" s="32"/>
      <c r="E18" s="32"/>
      <c r="F18" s="32"/>
      <c r="G18" s="90" t="str">
        <f>収支予算書!G18</f>
        <v/>
      </c>
      <c r="H18" s="128" t="str">
        <f>収支予算書!J18</f>
        <v/>
      </c>
      <c r="I18" s="602" t="str">
        <f>実績入力フォーム!B95&amp;""</f>
        <v/>
      </c>
      <c r="J18" s="603"/>
      <c r="K18" s="131" t="str">
        <f>IF(実績入力フォーム!B96="","",実績入力フォーム!B96)</f>
        <v/>
      </c>
      <c r="L18" s="153" t="str">
        <f>実績入力フォーム!B97&amp;""</f>
        <v/>
      </c>
    </row>
    <row r="19" spans="2:12" ht="13.2" customHeight="1" x14ac:dyDescent="0.45">
      <c r="B19" s="35"/>
      <c r="C19" s="32"/>
      <c r="D19" s="32"/>
      <c r="E19" s="32"/>
      <c r="F19" s="32"/>
      <c r="G19" s="90" t="str">
        <f>収支予算書!G19</f>
        <v/>
      </c>
      <c r="H19" s="128" t="str">
        <f>収支予算書!J19</f>
        <v/>
      </c>
      <c r="I19" s="602" t="str">
        <f>実績入力フォーム!B98&amp;""</f>
        <v/>
      </c>
      <c r="J19" s="603"/>
      <c r="K19" s="131" t="str">
        <f>IF(実績入力フォーム!B99="","",実績入力フォーム!B99)</f>
        <v/>
      </c>
      <c r="L19" s="153" t="str">
        <f>実績入力フォーム!B100&amp;""</f>
        <v/>
      </c>
    </row>
    <row r="20" spans="2:12" ht="13.2" customHeight="1" x14ac:dyDescent="0.45">
      <c r="B20" s="35"/>
      <c r="C20" s="32"/>
      <c r="D20" s="32"/>
      <c r="E20" s="32"/>
      <c r="F20" s="32"/>
      <c r="G20" s="93" t="str">
        <f>収支予算書!G20</f>
        <v/>
      </c>
      <c r="H20" s="146" t="str">
        <f>収支予算書!J20</f>
        <v/>
      </c>
      <c r="I20" s="604" t="str">
        <f>実績入力フォーム!B101&amp;""</f>
        <v/>
      </c>
      <c r="J20" s="605"/>
      <c r="K20" s="133" t="str">
        <f>IF(実績入力フォーム!B102="","",実績入力フォーム!B102)</f>
        <v/>
      </c>
      <c r="L20" s="154" t="str">
        <f>実績入力フォーム!B103&amp;""</f>
        <v/>
      </c>
    </row>
    <row r="21" spans="2:12" x14ac:dyDescent="0.45">
      <c r="B21" s="35"/>
      <c r="C21" s="32"/>
      <c r="D21" s="588" t="s">
        <v>196</v>
      </c>
      <c r="E21" s="588"/>
      <c r="F21" s="589"/>
      <c r="G21" s="90" t="str">
        <f>収支予算書!G21</f>
        <v/>
      </c>
      <c r="H21" s="128" t="str">
        <f>収支予算書!J21</f>
        <v/>
      </c>
      <c r="I21" s="600" t="str">
        <f>実績入力フォーム!B109&amp;""</f>
        <v/>
      </c>
      <c r="J21" s="601"/>
      <c r="K21" s="132" t="str">
        <f>IF(実績入力フォーム!B110="","", 実績入力フォーム!B110)</f>
        <v/>
      </c>
      <c r="L21" s="153" t="str">
        <f>実績入力フォーム!B111&amp;""</f>
        <v/>
      </c>
    </row>
    <row r="22" spans="2:12" ht="13.2" customHeight="1" x14ac:dyDescent="0.45">
      <c r="B22" s="35"/>
      <c r="C22" s="32"/>
      <c r="D22" s="32"/>
      <c r="E22" s="32"/>
      <c r="F22" s="32"/>
      <c r="G22" s="90" t="str">
        <f>収支予算書!G22</f>
        <v/>
      </c>
      <c r="H22" s="128" t="str">
        <f>収支予算書!J22</f>
        <v/>
      </c>
      <c r="I22" s="602" t="str">
        <f>実績入力フォーム!B112&amp;""</f>
        <v/>
      </c>
      <c r="J22" s="603"/>
      <c r="K22" s="131" t="str">
        <f>IF(実績入力フォーム!B113="","", 実績入力フォーム!B113)</f>
        <v/>
      </c>
      <c r="L22" s="153" t="str">
        <f>実績入力フォーム!B114&amp;""</f>
        <v/>
      </c>
    </row>
    <row r="23" spans="2:12" ht="13.2" customHeight="1" x14ac:dyDescent="0.45">
      <c r="B23" s="35"/>
      <c r="C23" s="32"/>
      <c r="D23" s="32"/>
      <c r="E23" s="32"/>
      <c r="F23" s="32"/>
      <c r="G23" s="90" t="str">
        <f>収支予算書!G23</f>
        <v/>
      </c>
      <c r="H23" s="128" t="str">
        <f>収支予算書!J23</f>
        <v/>
      </c>
      <c r="I23" s="602" t="str">
        <f>実績入力フォーム!B115&amp;""</f>
        <v/>
      </c>
      <c r="J23" s="603"/>
      <c r="K23" s="131" t="str">
        <f>IF(実績入力フォーム!B116="","", 実績入力フォーム!B116)</f>
        <v/>
      </c>
      <c r="L23" s="153" t="str">
        <f>実績入力フォーム!B117&amp;""</f>
        <v/>
      </c>
    </row>
    <row r="24" spans="2:12" ht="13.2" customHeight="1" x14ac:dyDescent="0.45">
      <c r="B24" s="35"/>
      <c r="C24" s="32"/>
      <c r="D24" s="32"/>
      <c r="E24" s="32"/>
      <c r="F24" s="32"/>
      <c r="G24" s="90" t="str">
        <f>収支予算書!G24</f>
        <v/>
      </c>
      <c r="H24" s="128" t="str">
        <f>収支予算書!J24</f>
        <v/>
      </c>
      <c r="I24" s="604" t="str">
        <f>実績入力フォーム!B118&amp;""</f>
        <v/>
      </c>
      <c r="J24" s="605"/>
      <c r="K24" s="131" t="str">
        <f>IF(実績入力フォーム!B119="","", 実績入力フォーム!B119)</f>
        <v/>
      </c>
      <c r="L24" s="153" t="str">
        <f>実績入力フォーム!B120&amp;""</f>
        <v/>
      </c>
    </row>
    <row r="25" spans="2:12" ht="13.2" customHeight="1" x14ac:dyDescent="0.45">
      <c r="B25" s="35"/>
      <c r="C25" s="32"/>
      <c r="D25" s="588" t="s">
        <v>197</v>
      </c>
      <c r="E25" s="588"/>
      <c r="F25" s="589"/>
      <c r="G25" s="92" t="str">
        <f>収支予算書!G25</f>
        <v>チラシ作成用プリンター</v>
      </c>
      <c r="H25" s="145">
        <f>収支予算書!J25</f>
        <v>40000</v>
      </c>
      <c r="I25" s="600" t="str">
        <f>実績入力フォーム!B139&amp;""</f>
        <v>チラシ作成用プリンター</v>
      </c>
      <c r="J25" s="601"/>
      <c r="K25" s="132">
        <f>IF(実績入力フォーム!B140="","", 実績入力フォーム!B140)</f>
        <v>40000</v>
      </c>
      <c r="L25" s="152" t="str">
        <f>実績入力フォーム!B141&amp;""</f>
        <v>2</v>
      </c>
    </row>
    <row r="26" spans="2:12" ht="13.2" customHeight="1" x14ac:dyDescent="0.45">
      <c r="B26" s="35"/>
      <c r="C26" s="32"/>
      <c r="D26" s="32"/>
      <c r="E26" s="32"/>
      <c r="F26" s="32"/>
      <c r="G26" s="90" t="str">
        <f>収支予算書!G26</f>
        <v>講座資料投影用プロジェクター</v>
      </c>
      <c r="H26" s="128">
        <f>収支予算書!J26</f>
        <v>45000</v>
      </c>
      <c r="I26" s="602" t="str">
        <f>実績入力フォーム!B142&amp;""</f>
        <v>講座資料投影用プロジェクター</v>
      </c>
      <c r="J26" s="603"/>
      <c r="K26" s="131">
        <f>IF(実績入力フォーム!B143="","", 実績入力フォーム!B143)</f>
        <v>45000</v>
      </c>
      <c r="L26" s="153" t="str">
        <f>実績入力フォーム!B144&amp;""</f>
        <v>2</v>
      </c>
    </row>
    <row r="27" spans="2:12" ht="13.2" customHeight="1" x14ac:dyDescent="0.45">
      <c r="B27" s="35"/>
      <c r="C27" s="32"/>
      <c r="D27" s="32"/>
      <c r="E27" s="32"/>
      <c r="F27" s="32"/>
      <c r="G27" s="90" t="str">
        <f>収支予算書!G27</f>
        <v>講座資料投影用ノートパソコン</v>
      </c>
      <c r="H27" s="128">
        <f>収支予算書!J27</f>
        <v>100000</v>
      </c>
      <c r="I27" s="602" t="str">
        <f>実績入力フォーム!B145&amp;""</f>
        <v>講座資料投影用ノートパソコン</v>
      </c>
      <c r="J27" s="603"/>
      <c r="K27" s="131">
        <f>IF(実績入力フォーム!B146="","", 実績入力フォーム!B146)</f>
        <v>100000</v>
      </c>
      <c r="L27" s="153" t="str">
        <f>実績入力フォーム!B147&amp;""</f>
        <v>2</v>
      </c>
    </row>
    <row r="28" spans="2:12" ht="13.2" customHeight="1" x14ac:dyDescent="0.45">
      <c r="B28" s="35"/>
      <c r="C28" s="32"/>
      <c r="D28" s="32"/>
      <c r="E28" s="32"/>
      <c r="F28" s="32"/>
      <c r="G28" s="90" t="str">
        <f>収支予算書!G28</f>
        <v/>
      </c>
      <c r="H28" s="128" t="str">
        <f>収支予算書!J28</f>
        <v/>
      </c>
      <c r="I28" s="602" t="str">
        <f>実績入力フォーム!B148&amp;""</f>
        <v/>
      </c>
      <c r="J28" s="603"/>
      <c r="K28" s="131" t="str">
        <f>IF(実績入力フォーム!B149="","", 実績入力フォーム!B149)</f>
        <v/>
      </c>
      <c r="L28" s="153" t="str">
        <f>実績入力フォーム!B150&amp;""</f>
        <v/>
      </c>
    </row>
    <row r="29" spans="2:12" ht="13.2" customHeight="1" x14ac:dyDescent="0.45">
      <c r="B29" s="35"/>
      <c r="C29" s="32"/>
      <c r="D29" s="32"/>
      <c r="E29" s="32"/>
      <c r="F29" s="32"/>
      <c r="G29" s="90" t="str">
        <f>収支予算書!G29</f>
        <v/>
      </c>
      <c r="H29" s="128" t="str">
        <f>収支予算書!J29</f>
        <v/>
      </c>
      <c r="I29" s="602" t="str">
        <f>実績入力フォーム!B151&amp;""</f>
        <v/>
      </c>
      <c r="J29" s="603"/>
      <c r="K29" s="131" t="str">
        <f>IF(実績入力フォーム!B152="","", 実績入力フォーム!B152)</f>
        <v/>
      </c>
      <c r="L29" s="153" t="str">
        <f>実績入力フォーム!B153&amp;""</f>
        <v/>
      </c>
    </row>
    <row r="30" spans="2:12" ht="13.2" customHeight="1" x14ac:dyDescent="0.45">
      <c r="B30" s="35"/>
      <c r="C30" s="32"/>
      <c r="D30" s="32"/>
      <c r="E30" s="32"/>
      <c r="F30" s="32"/>
      <c r="G30" s="90" t="str">
        <f>収支予算書!G30</f>
        <v/>
      </c>
      <c r="H30" s="128" t="str">
        <f>収支予算書!J30</f>
        <v/>
      </c>
      <c r="I30" s="602" t="str">
        <f>実績入力フォーム!B154&amp;""</f>
        <v/>
      </c>
      <c r="J30" s="603"/>
      <c r="K30" s="131" t="str">
        <f>IF(実績入力フォーム!B155="","", 実績入力フォーム!B155)</f>
        <v/>
      </c>
      <c r="L30" s="153" t="str">
        <f>実績入力フォーム!B156&amp;""</f>
        <v/>
      </c>
    </row>
    <row r="31" spans="2:12" ht="13.2" customHeight="1" x14ac:dyDescent="0.45">
      <c r="B31" s="35"/>
      <c r="C31" s="32"/>
      <c r="D31" s="32"/>
      <c r="E31" s="32"/>
      <c r="F31" s="32"/>
      <c r="G31" s="90" t="str">
        <f>収支予算書!G31</f>
        <v/>
      </c>
      <c r="H31" s="128" t="str">
        <f>収支予算書!J31</f>
        <v/>
      </c>
      <c r="I31" s="602" t="str">
        <f>実績入力フォーム!B157&amp;""</f>
        <v/>
      </c>
      <c r="J31" s="603"/>
      <c r="K31" s="131" t="str">
        <f>IF(実績入力フォーム!B158="","", 実績入力フォーム!B158)</f>
        <v/>
      </c>
      <c r="L31" s="153" t="str">
        <f>実績入力フォーム!B159&amp;""</f>
        <v/>
      </c>
    </row>
    <row r="32" spans="2:12" ht="13.2" customHeight="1" x14ac:dyDescent="0.45">
      <c r="B32" s="35"/>
      <c r="C32" s="32"/>
      <c r="D32" s="32"/>
      <c r="E32" s="32"/>
      <c r="F32" s="32"/>
      <c r="G32" s="90" t="str">
        <f>収支予算書!G32</f>
        <v/>
      </c>
      <c r="H32" s="128" t="str">
        <f>収支予算書!J32</f>
        <v/>
      </c>
      <c r="I32" s="602" t="str">
        <f>実績入力フォーム!B160&amp;""</f>
        <v/>
      </c>
      <c r="J32" s="603"/>
      <c r="K32" s="131" t="str">
        <f>IF(実績入力フォーム!B161="","", 実績入力フォーム!B161)</f>
        <v/>
      </c>
      <c r="L32" s="153" t="str">
        <f>実績入力フォーム!B162&amp;""</f>
        <v/>
      </c>
    </row>
    <row r="33" spans="2:12" ht="13.2" customHeight="1" x14ac:dyDescent="0.45">
      <c r="B33" s="35"/>
      <c r="C33" s="32"/>
      <c r="D33" s="32"/>
      <c r="E33" s="32"/>
      <c r="F33" s="32"/>
      <c r="G33" s="90" t="str">
        <f>収支予算書!G33</f>
        <v/>
      </c>
      <c r="H33" s="128" t="str">
        <f>収支予算書!J33</f>
        <v/>
      </c>
      <c r="I33" s="602" t="str">
        <f>実績入力フォーム!B163&amp;""</f>
        <v/>
      </c>
      <c r="J33" s="603"/>
      <c r="K33" s="131" t="str">
        <f>IF(実績入力フォーム!B164="","", 実績入力フォーム!B164)</f>
        <v/>
      </c>
      <c r="L33" s="153" t="str">
        <f>実績入力フォーム!B165&amp;""</f>
        <v/>
      </c>
    </row>
    <row r="34" spans="2:12" ht="13.2" customHeight="1" x14ac:dyDescent="0.45">
      <c r="B34" s="35"/>
      <c r="C34" s="32"/>
      <c r="D34" s="32"/>
      <c r="E34" s="32"/>
      <c r="F34" s="32"/>
      <c r="G34" s="90" t="str">
        <f>収支予算書!G34</f>
        <v/>
      </c>
      <c r="H34" s="128" t="str">
        <f>収支予算書!J34</f>
        <v/>
      </c>
      <c r="I34" s="602" t="str">
        <f>実績入力フォーム!B166&amp;""</f>
        <v/>
      </c>
      <c r="J34" s="603"/>
      <c r="K34" s="131" t="str">
        <f>IF(実績入力フォーム!B167="","", 実績入力フォーム!B167)</f>
        <v/>
      </c>
      <c r="L34" s="153" t="str">
        <f>実績入力フォーム!B168&amp;""</f>
        <v/>
      </c>
    </row>
    <row r="35" spans="2:12" ht="13.2" customHeight="1" x14ac:dyDescent="0.45">
      <c r="B35" s="35"/>
      <c r="C35" s="32"/>
      <c r="D35" s="32"/>
      <c r="E35" s="32"/>
      <c r="F35" s="32"/>
      <c r="G35" s="90" t="str">
        <f>収支予算書!G35</f>
        <v/>
      </c>
      <c r="H35" s="128" t="str">
        <f>収支予算書!J35</f>
        <v/>
      </c>
      <c r="I35" s="602" t="str">
        <f>実績入力フォーム!B169&amp;""</f>
        <v/>
      </c>
      <c r="J35" s="603"/>
      <c r="K35" s="131" t="str">
        <f>IF(実績入力フォーム!B170="","", 実績入力フォーム!B170)</f>
        <v/>
      </c>
      <c r="L35" s="153" t="str">
        <f>実績入力フォーム!B171&amp;""</f>
        <v/>
      </c>
    </row>
    <row r="36" spans="2:12" ht="13.2" customHeight="1" x14ac:dyDescent="0.45">
      <c r="B36" s="35"/>
      <c r="C36" s="32"/>
      <c r="D36" s="32"/>
      <c r="E36" s="32"/>
      <c r="F36" s="32"/>
      <c r="G36" s="90" t="str">
        <f>収支予算書!G36</f>
        <v/>
      </c>
      <c r="H36" s="128" t="str">
        <f>収支予算書!J36</f>
        <v/>
      </c>
      <c r="I36" s="602" t="str">
        <f>実績入力フォーム!B172&amp;""</f>
        <v/>
      </c>
      <c r="J36" s="603"/>
      <c r="K36" s="131" t="str">
        <f>IF(実績入力フォーム!B173="","", 実績入力フォーム!B173)</f>
        <v/>
      </c>
      <c r="L36" s="153" t="str">
        <f>実績入力フォーム!B174&amp;""</f>
        <v/>
      </c>
    </row>
    <row r="37" spans="2:12" ht="13.2" customHeight="1" x14ac:dyDescent="0.45">
      <c r="B37" s="35"/>
      <c r="C37" s="32"/>
      <c r="D37" s="32"/>
      <c r="E37" s="32"/>
      <c r="F37" s="32"/>
      <c r="G37" s="90" t="str">
        <f>収支予算書!G37</f>
        <v/>
      </c>
      <c r="H37" s="128" t="str">
        <f>収支予算書!J37</f>
        <v/>
      </c>
      <c r="I37" s="602" t="str">
        <f>実績入力フォーム!B175&amp;""</f>
        <v/>
      </c>
      <c r="J37" s="603"/>
      <c r="K37" s="131" t="str">
        <f>IF(実績入力フォーム!B176="","", 実績入力フォーム!B176)</f>
        <v/>
      </c>
      <c r="L37" s="153" t="str">
        <f>実績入力フォーム!B177&amp;""</f>
        <v/>
      </c>
    </row>
    <row r="38" spans="2:12" ht="13.2" customHeight="1" x14ac:dyDescent="0.45">
      <c r="B38" s="35"/>
      <c r="C38" s="32"/>
      <c r="D38" s="32"/>
      <c r="E38" s="32"/>
      <c r="F38" s="32"/>
      <c r="G38" s="90" t="str">
        <f>収支予算書!G38</f>
        <v/>
      </c>
      <c r="H38" s="128" t="str">
        <f>収支予算書!J38</f>
        <v/>
      </c>
      <c r="I38" s="602" t="str">
        <f>実績入力フォーム!B178&amp;""</f>
        <v/>
      </c>
      <c r="J38" s="603"/>
      <c r="K38" s="131" t="str">
        <f>IF(実績入力フォーム!B179="","", 実績入力フォーム!B179)</f>
        <v/>
      </c>
      <c r="L38" s="153" t="str">
        <f>実績入力フォーム!B180&amp;""</f>
        <v/>
      </c>
    </row>
    <row r="39" spans="2:12" ht="13.2" customHeight="1" x14ac:dyDescent="0.45">
      <c r="B39" s="35"/>
      <c r="C39" s="32"/>
      <c r="D39" s="32"/>
      <c r="E39" s="32"/>
      <c r="F39" s="32"/>
      <c r="G39" s="90" t="str">
        <f>収支予算書!G39</f>
        <v/>
      </c>
      <c r="H39" s="128" t="str">
        <f>収支予算書!J39</f>
        <v/>
      </c>
      <c r="I39" s="602" t="str">
        <f>実績入力フォーム!B181&amp;""</f>
        <v/>
      </c>
      <c r="J39" s="603"/>
      <c r="K39" s="131" t="str">
        <f>IF(実績入力フォーム!B182="","", 実績入力フォーム!B182)</f>
        <v/>
      </c>
      <c r="L39" s="153" t="str">
        <f>実績入力フォーム!B183&amp;""</f>
        <v/>
      </c>
    </row>
    <row r="40" spans="2:12" ht="13.2" customHeight="1" x14ac:dyDescent="0.45">
      <c r="B40" s="35"/>
      <c r="C40" s="32"/>
      <c r="D40" s="32"/>
      <c r="E40" s="32"/>
      <c r="F40" s="32"/>
      <c r="G40" s="90" t="str">
        <f>収支予算書!G40</f>
        <v/>
      </c>
      <c r="H40" s="128" t="str">
        <f>収支予算書!J40</f>
        <v/>
      </c>
      <c r="I40" s="602" t="str">
        <f>実績入力フォーム!B184&amp;""</f>
        <v/>
      </c>
      <c r="J40" s="603"/>
      <c r="K40" s="131" t="str">
        <f>IF(実績入力フォーム!B185="","", 実績入力フォーム!B185)</f>
        <v/>
      </c>
      <c r="L40" s="153" t="str">
        <f>実績入力フォーム!B186&amp;""</f>
        <v/>
      </c>
    </row>
    <row r="41" spans="2:12" ht="13.2" customHeight="1" x14ac:dyDescent="0.45">
      <c r="B41" s="35"/>
      <c r="C41" s="32"/>
      <c r="D41" s="32"/>
      <c r="E41" s="32"/>
      <c r="F41" s="32"/>
      <c r="G41" s="93" t="str">
        <f>収支予算書!G41</f>
        <v/>
      </c>
      <c r="H41" s="146" t="str">
        <f>収支予算書!J41</f>
        <v/>
      </c>
      <c r="I41" s="604" t="str">
        <f>実績入力フォーム!B187&amp;""</f>
        <v/>
      </c>
      <c r="J41" s="605"/>
      <c r="K41" s="133" t="str">
        <f>IF(実績入力フォーム!B188="","", 実績入力フォーム!B188)</f>
        <v/>
      </c>
      <c r="L41" s="154" t="str">
        <f>実績入力フォーム!B189&amp;""</f>
        <v/>
      </c>
    </row>
    <row r="42" spans="2:12" ht="13.2" customHeight="1" x14ac:dyDescent="0.45">
      <c r="B42" s="35"/>
      <c r="C42" s="32"/>
      <c r="D42" s="588" t="s">
        <v>198</v>
      </c>
      <c r="E42" s="588"/>
      <c r="F42" s="589"/>
      <c r="G42" s="90" t="str">
        <f>収支予算書!G42</f>
        <v/>
      </c>
      <c r="H42" s="128" t="str">
        <f>収支予算書!J42</f>
        <v/>
      </c>
      <c r="I42" s="600" t="str">
        <f>実績入力フォーム!B195&amp;""</f>
        <v/>
      </c>
      <c r="J42" s="601"/>
      <c r="K42" s="131" t="str">
        <f>IF(実績入力フォーム!B196="","", 実績入力フォーム!B196)</f>
        <v/>
      </c>
      <c r="L42" s="153" t="str">
        <f>実績入力フォーム!B197&amp;""</f>
        <v/>
      </c>
    </row>
    <row r="43" spans="2:12" ht="13.2" customHeight="1" x14ac:dyDescent="0.45">
      <c r="B43" s="35"/>
      <c r="C43" s="32"/>
      <c r="D43" s="32"/>
      <c r="E43" s="32"/>
      <c r="F43" s="32"/>
      <c r="G43" s="90" t="str">
        <f>収支予算書!G43</f>
        <v/>
      </c>
      <c r="H43" s="128" t="str">
        <f>収支予算書!J43</f>
        <v/>
      </c>
      <c r="I43" s="602" t="str">
        <f>実績入力フォーム!B198&amp;""</f>
        <v/>
      </c>
      <c r="J43" s="603"/>
      <c r="K43" s="131" t="str">
        <f>IF(実績入力フォーム!B199="","", 実績入力フォーム!B199)</f>
        <v/>
      </c>
      <c r="L43" s="153" t="str">
        <f>実績入力フォーム!B200&amp;""</f>
        <v/>
      </c>
    </row>
    <row r="44" spans="2:12" ht="13.2" customHeight="1" x14ac:dyDescent="0.45">
      <c r="B44" s="35"/>
      <c r="C44" s="32"/>
      <c r="D44" s="32"/>
      <c r="E44" s="32"/>
      <c r="F44" s="32"/>
      <c r="G44" s="90" t="str">
        <f>収支予算書!G44</f>
        <v/>
      </c>
      <c r="H44" s="128" t="str">
        <f>収支予算書!J44</f>
        <v/>
      </c>
      <c r="I44" s="602" t="str">
        <f>実績入力フォーム!B201&amp;""</f>
        <v/>
      </c>
      <c r="J44" s="603"/>
      <c r="K44" s="131" t="str">
        <f>IF(実績入力フォーム!B202="","", 実績入力フォーム!B202)</f>
        <v/>
      </c>
      <c r="L44" s="153" t="str">
        <f>実績入力フォーム!B203&amp;""</f>
        <v/>
      </c>
    </row>
    <row r="45" spans="2:12" ht="13.2" customHeight="1" x14ac:dyDescent="0.45">
      <c r="B45" s="35"/>
      <c r="C45" s="32"/>
      <c r="D45" s="32"/>
      <c r="E45" s="32"/>
      <c r="F45" s="32"/>
      <c r="G45" s="90" t="str">
        <f>収支予算書!G45</f>
        <v/>
      </c>
      <c r="H45" s="128" t="str">
        <f>収支予算書!J45</f>
        <v/>
      </c>
      <c r="I45" s="604" t="str">
        <f>実績入力フォーム!B204&amp;""</f>
        <v/>
      </c>
      <c r="J45" s="605"/>
      <c r="K45" s="131" t="str">
        <f>IF(実績入力フォーム!B205="","", 実績入力フォーム!B205)</f>
        <v/>
      </c>
      <c r="L45" s="153" t="str">
        <f>実績入力フォーム!B206&amp;""</f>
        <v/>
      </c>
    </row>
    <row r="46" spans="2:12" ht="13.2" customHeight="1" x14ac:dyDescent="0.45">
      <c r="B46" s="35"/>
      <c r="C46" s="32"/>
      <c r="D46" s="588" t="s">
        <v>199</v>
      </c>
      <c r="E46" s="588"/>
      <c r="F46" s="589"/>
      <c r="G46" s="92" t="str">
        <f>収支予算書!G46</f>
        <v/>
      </c>
      <c r="H46" s="145" t="str">
        <f>収支予算書!J46</f>
        <v/>
      </c>
      <c r="I46" s="600" t="str">
        <f>実績入力フォーム!B212&amp;""</f>
        <v/>
      </c>
      <c r="J46" s="601"/>
      <c r="K46" s="132" t="str">
        <f>IF(実績入力フォーム!B213="","", 実績入力フォーム!B213)</f>
        <v/>
      </c>
      <c r="L46" s="152" t="str">
        <f>実績入力フォーム!B214&amp;""</f>
        <v/>
      </c>
    </row>
    <row r="47" spans="2:12" ht="13.2" customHeight="1" x14ac:dyDescent="0.45">
      <c r="B47" s="35"/>
      <c r="C47" s="32"/>
      <c r="D47" s="32"/>
      <c r="E47" s="32"/>
      <c r="F47" s="32"/>
      <c r="G47" s="90" t="str">
        <f>収支予算書!G47</f>
        <v/>
      </c>
      <c r="H47" s="128" t="str">
        <f>収支予算書!J47</f>
        <v/>
      </c>
      <c r="I47" s="602" t="str">
        <f>実績入力フォーム!B215&amp;""</f>
        <v/>
      </c>
      <c r="J47" s="603"/>
      <c r="K47" s="131" t="str">
        <f>IF(実績入力フォーム!B216="","", 実績入力フォーム!B216)</f>
        <v/>
      </c>
      <c r="L47" s="153" t="str">
        <f>実績入力フォーム!B217&amp;""</f>
        <v/>
      </c>
    </row>
    <row r="48" spans="2:12" ht="13.2" customHeight="1" x14ac:dyDescent="0.45">
      <c r="B48" s="35"/>
      <c r="C48" s="32"/>
      <c r="D48" s="32"/>
      <c r="E48" s="32"/>
      <c r="F48" s="32"/>
      <c r="G48" s="90" t="str">
        <f>収支予算書!G48</f>
        <v/>
      </c>
      <c r="H48" s="128" t="str">
        <f>収支予算書!J48</f>
        <v/>
      </c>
      <c r="I48" s="602" t="str">
        <f>実績入力フォーム!B218&amp;""</f>
        <v/>
      </c>
      <c r="J48" s="603"/>
      <c r="K48" s="131" t="str">
        <f>IF(実績入力フォーム!B219="","", 実績入力フォーム!B219)</f>
        <v/>
      </c>
      <c r="L48" s="153" t="str">
        <f>実績入力フォーム!B220&amp;""</f>
        <v/>
      </c>
    </row>
    <row r="49" spans="2:12" ht="13.2" customHeight="1" x14ac:dyDescent="0.45">
      <c r="B49" s="35"/>
      <c r="C49" s="32"/>
      <c r="D49" s="32"/>
      <c r="E49" s="32"/>
      <c r="F49" s="32"/>
      <c r="G49" s="93" t="str">
        <f>収支予算書!G49</f>
        <v/>
      </c>
      <c r="H49" s="146" t="str">
        <f>収支予算書!J49</f>
        <v/>
      </c>
      <c r="I49" s="604" t="str">
        <f>実績入力フォーム!B221&amp;""</f>
        <v/>
      </c>
      <c r="J49" s="605"/>
      <c r="K49" s="133" t="str">
        <f>IF(実績入力フォーム!B222="","", 実績入力フォーム!B222)</f>
        <v/>
      </c>
      <c r="L49" s="154" t="str">
        <f>実績入力フォーム!B223&amp;""</f>
        <v/>
      </c>
    </row>
    <row r="50" spans="2:12" ht="13.2" customHeight="1" x14ac:dyDescent="0.45">
      <c r="B50" s="35"/>
      <c r="C50" s="32"/>
      <c r="D50" s="588" t="s">
        <v>200</v>
      </c>
      <c r="E50" s="588"/>
      <c r="F50" s="589"/>
      <c r="G50" s="90" t="str">
        <f>収支予算書!G50</f>
        <v/>
      </c>
      <c r="H50" s="128" t="str">
        <f>収支予算書!J50</f>
        <v/>
      </c>
      <c r="I50" s="600" t="str">
        <f>実績入力フォーム!B229&amp;""</f>
        <v/>
      </c>
      <c r="J50" s="601"/>
      <c r="K50" s="131" t="str">
        <f>IF(実績入力フォーム!B230="","", 実績入力フォーム!B230)</f>
        <v/>
      </c>
      <c r="L50" s="153" t="str">
        <f>実績入力フォーム!B231&amp;""</f>
        <v/>
      </c>
    </row>
    <row r="51" spans="2:12" ht="13.2" customHeight="1" x14ac:dyDescent="0.45">
      <c r="B51" s="35"/>
      <c r="C51" s="32"/>
      <c r="D51" s="32"/>
      <c r="E51" s="32"/>
      <c r="F51" s="32"/>
      <c r="G51" s="90" t="str">
        <f>収支予算書!G51</f>
        <v/>
      </c>
      <c r="H51" s="128" t="str">
        <f>収支予算書!J51</f>
        <v/>
      </c>
      <c r="I51" s="602" t="str">
        <f>実績入力フォーム!B232&amp;""</f>
        <v/>
      </c>
      <c r="J51" s="603"/>
      <c r="K51" s="131" t="str">
        <f>IF(実績入力フォーム!B233="","", 実績入力フォーム!B233)</f>
        <v/>
      </c>
      <c r="L51" s="153" t="str">
        <f>実績入力フォーム!B234&amp;""</f>
        <v/>
      </c>
    </row>
    <row r="52" spans="2:12" ht="13.2" customHeight="1" x14ac:dyDescent="0.45">
      <c r="B52" s="35"/>
      <c r="C52" s="32"/>
      <c r="D52" s="32"/>
      <c r="E52" s="32"/>
      <c r="F52" s="32"/>
      <c r="G52" s="90" t="str">
        <f>収支予算書!G52</f>
        <v/>
      </c>
      <c r="H52" s="128" t="str">
        <f>収支予算書!J52</f>
        <v/>
      </c>
      <c r="I52" s="602" t="str">
        <f>実績入力フォーム!B235&amp;""</f>
        <v/>
      </c>
      <c r="J52" s="603"/>
      <c r="K52" s="131" t="str">
        <f>IF(実績入力フォーム!B236="","", 実績入力フォーム!B236)</f>
        <v/>
      </c>
      <c r="L52" s="153" t="str">
        <f>実績入力フォーム!B237&amp;""</f>
        <v/>
      </c>
    </row>
    <row r="53" spans="2:12" ht="13.2" customHeight="1" x14ac:dyDescent="0.45">
      <c r="B53" s="35"/>
      <c r="C53" s="32"/>
      <c r="D53" s="32"/>
      <c r="E53" s="32"/>
      <c r="F53" s="32"/>
      <c r="G53" s="90" t="str">
        <f>収支予算書!G53</f>
        <v/>
      </c>
      <c r="H53" s="128" t="str">
        <f>収支予算書!J53</f>
        <v/>
      </c>
      <c r="I53" s="604" t="str">
        <f>実績入力フォーム!B238&amp;""</f>
        <v/>
      </c>
      <c r="J53" s="605"/>
      <c r="K53" s="131" t="str">
        <f>IF(実績入力フォーム!B239="","", 実績入力フォーム!B239)</f>
        <v/>
      </c>
      <c r="L53" s="153" t="str">
        <f>実績入力フォーム!B240&amp;""</f>
        <v/>
      </c>
    </row>
    <row r="54" spans="2:12" ht="13.2" customHeight="1" x14ac:dyDescent="0.45">
      <c r="B54" s="35"/>
      <c r="C54" s="32"/>
      <c r="D54" s="588" t="s">
        <v>260</v>
      </c>
      <c r="E54" s="588"/>
      <c r="F54" s="589"/>
      <c r="G54" s="92" t="str">
        <f>収支予算書!G54</f>
        <v>Wi-Fiルーター（講座当日利用分）</v>
      </c>
      <c r="H54" s="145">
        <f>収支予算書!J54</f>
        <v>2000</v>
      </c>
      <c r="I54" s="600" t="str">
        <f>実績入力フォーム!B246&amp;""</f>
        <v>Wi-Fiルーター（講座当日利用分）</v>
      </c>
      <c r="J54" s="601"/>
      <c r="K54" s="132">
        <f>IF(実績入力フォーム!B247="","", 実績入力フォーム!B247)</f>
        <v>2000</v>
      </c>
      <c r="L54" s="152" t="str">
        <f>実績入力フォーム!B248&amp;""</f>
        <v>3</v>
      </c>
    </row>
    <row r="55" spans="2:12" ht="13.2" customHeight="1" x14ac:dyDescent="0.45">
      <c r="B55" s="35"/>
      <c r="C55" s="32"/>
      <c r="D55" s="32"/>
      <c r="E55" s="32" t="s">
        <v>261</v>
      </c>
      <c r="F55" s="32"/>
      <c r="G55" s="90" t="str">
        <f>収支予算書!G55</f>
        <v/>
      </c>
      <c r="H55" s="128" t="str">
        <f>収支予算書!J55</f>
        <v/>
      </c>
      <c r="I55" s="602" t="str">
        <f>実績入力フォーム!B249&amp;""</f>
        <v/>
      </c>
      <c r="J55" s="603"/>
      <c r="K55" s="131" t="str">
        <f>IF(実績入力フォーム!B250="","", 実績入力フォーム!B250)</f>
        <v/>
      </c>
      <c r="L55" s="153" t="str">
        <f>実績入力フォーム!B251&amp;""</f>
        <v/>
      </c>
    </row>
    <row r="56" spans="2:12" ht="13.2" customHeight="1" x14ac:dyDescent="0.45">
      <c r="B56" s="35"/>
      <c r="C56" s="32"/>
      <c r="D56" s="32"/>
      <c r="E56" s="32"/>
      <c r="F56" s="32"/>
      <c r="G56" s="90" t="str">
        <f>収支予算書!G56</f>
        <v/>
      </c>
      <c r="H56" s="128" t="str">
        <f>収支予算書!J56</f>
        <v/>
      </c>
      <c r="I56" s="602" t="str">
        <f>実績入力フォーム!B252&amp;""</f>
        <v/>
      </c>
      <c r="J56" s="603"/>
      <c r="K56" s="131" t="str">
        <f>IF(実績入力フォーム!B253="","", 実績入力フォーム!B253)</f>
        <v/>
      </c>
      <c r="L56" s="153" t="str">
        <f>実績入力フォーム!B254&amp;""</f>
        <v/>
      </c>
    </row>
    <row r="57" spans="2:12" ht="13.2" customHeight="1" x14ac:dyDescent="0.45">
      <c r="B57" s="35"/>
      <c r="C57" s="32"/>
      <c r="D57" s="32"/>
      <c r="E57" s="32"/>
      <c r="F57" s="32"/>
      <c r="G57" s="93" t="str">
        <f>収支予算書!G57</f>
        <v/>
      </c>
      <c r="H57" s="146" t="str">
        <f>収支予算書!J57</f>
        <v/>
      </c>
      <c r="I57" s="604" t="str">
        <f>実績入力フォーム!B255&amp;""</f>
        <v/>
      </c>
      <c r="J57" s="605"/>
      <c r="K57" s="133" t="str">
        <f>IF(実績入力フォーム!B256="","", 実績入力フォーム!B256)</f>
        <v/>
      </c>
      <c r="L57" s="154" t="str">
        <f>実績入力フォーム!B257&amp;""</f>
        <v/>
      </c>
    </row>
    <row r="58" spans="2:12" ht="13.2" customHeight="1" x14ac:dyDescent="0.45">
      <c r="B58" s="35"/>
      <c r="C58" s="32"/>
      <c r="D58" s="588" t="s">
        <v>201</v>
      </c>
      <c r="E58" s="588"/>
      <c r="F58" s="589"/>
      <c r="G58" s="90" t="str">
        <f>収支予算書!G58</f>
        <v/>
      </c>
      <c r="H58" s="128" t="str">
        <f>収支予算書!J58</f>
        <v/>
      </c>
      <c r="I58" s="600" t="str">
        <f>実績入力フォーム!B263&amp;""</f>
        <v/>
      </c>
      <c r="J58" s="601"/>
      <c r="K58" s="131" t="str">
        <f>IF(実績入力フォーム!B264="","", 実績入力フォーム!B264)</f>
        <v/>
      </c>
      <c r="L58" s="153" t="str">
        <f>実績入力フォーム!B265&amp;""</f>
        <v/>
      </c>
    </row>
    <row r="59" spans="2:12" ht="13.2" customHeight="1" x14ac:dyDescent="0.45">
      <c r="B59" s="35"/>
      <c r="C59" s="32"/>
      <c r="D59" s="32"/>
      <c r="E59" s="32"/>
      <c r="F59" s="32"/>
      <c r="G59" s="90" t="str">
        <f>収支予算書!G59</f>
        <v/>
      </c>
      <c r="H59" s="128" t="str">
        <f>収支予算書!J59</f>
        <v/>
      </c>
      <c r="I59" s="602" t="str">
        <f>実績入力フォーム!B266&amp;""</f>
        <v/>
      </c>
      <c r="J59" s="603"/>
      <c r="K59" s="131" t="str">
        <f>IF(実績入力フォーム!B267="","", 実績入力フォーム!B267)</f>
        <v/>
      </c>
      <c r="L59" s="153" t="str">
        <f>実績入力フォーム!B268&amp;""</f>
        <v/>
      </c>
    </row>
    <row r="60" spans="2:12" ht="13.2" customHeight="1" x14ac:dyDescent="0.45">
      <c r="B60" s="35"/>
      <c r="C60" s="32"/>
      <c r="D60" s="32"/>
      <c r="E60" s="32"/>
      <c r="F60" s="32"/>
      <c r="G60" s="90" t="str">
        <f>収支予算書!G60</f>
        <v/>
      </c>
      <c r="H60" s="128" t="str">
        <f>収支予算書!J60</f>
        <v/>
      </c>
      <c r="I60" s="602" t="str">
        <f>実績入力フォーム!B269&amp;""</f>
        <v/>
      </c>
      <c r="J60" s="603"/>
      <c r="K60" s="131" t="str">
        <f>IF(実績入力フォーム!B270="","", 実績入力フォーム!B270)</f>
        <v/>
      </c>
      <c r="L60" s="153" t="str">
        <f>実績入力フォーム!B271&amp;""</f>
        <v/>
      </c>
    </row>
    <row r="61" spans="2:12" ht="13.2" customHeight="1" x14ac:dyDescent="0.45">
      <c r="B61" s="35"/>
      <c r="C61" s="32"/>
      <c r="D61" s="32"/>
      <c r="E61" s="32"/>
      <c r="F61" s="22"/>
      <c r="G61" s="66" t="str">
        <f>収支予算書!G61</f>
        <v/>
      </c>
      <c r="H61" s="147" t="str">
        <f>収支予算書!J61</f>
        <v/>
      </c>
      <c r="I61" s="604" t="str">
        <f>実績入力フォーム!B272&amp;""</f>
        <v/>
      </c>
      <c r="J61" s="605"/>
      <c r="K61" s="134" t="str">
        <f>IF(実績入力フォーム!B273="","", 実績入力フォーム!B273)</f>
        <v/>
      </c>
      <c r="L61" s="153" t="str">
        <f>実績入力フォーム!B274&amp;""</f>
        <v/>
      </c>
    </row>
    <row r="62" spans="2:12" ht="13.2" customHeight="1" x14ac:dyDescent="0.45">
      <c r="B62" s="35"/>
      <c r="C62" s="46"/>
      <c r="D62" s="46"/>
      <c r="E62" s="46"/>
      <c r="F62" s="23"/>
      <c r="G62" s="68" t="s">
        <v>165</v>
      </c>
      <c r="H62" s="148">
        <f>IF(SUM(H17:H61)&lt;&gt;0,SUM(H17:H61),"")</f>
        <v>227000</v>
      </c>
      <c r="I62" s="612"/>
      <c r="J62" s="613"/>
      <c r="K62" s="135">
        <f>IF(SUM(K17:K61)&lt;&gt;0,SUM(K17:K61),"")</f>
        <v>227000</v>
      </c>
      <c r="L62" s="155"/>
    </row>
    <row r="63" spans="2:12" ht="13.2" customHeight="1" x14ac:dyDescent="0.45">
      <c r="B63" s="35"/>
      <c r="C63" s="586" t="s">
        <v>259</v>
      </c>
      <c r="D63" s="586"/>
      <c r="E63" s="586"/>
      <c r="F63" s="587"/>
      <c r="G63" s="94" t="str">
        <f>収支予算書!G63</f>
        <v>講座会場使用料</v>
      </c>
      <c r="H63" s="131">
        <f>収支予算書!J63</f>
        <v>25000</v>
      </c>
      <c r="I63" s="606" t="str">
        <f>実績入力フォーム!B280&amp;""</f>
        <v>講座会場使用料</v>
      </c>
      <c r="J63" s="607"/>
      <c r="K63" s="131">
        <f>IF(実績入力フォーム!B281="","", 実績入力フォーム!B281)</f>
        <v>25000</v>
      </c>
      <c r="L63" s="156"/>
    </row>
    <row r="64" spans="2:12" ht="13.2" customHeight="1" x14ac:dyDescent="0.45">
      <c r="B64" s="35"/>
      <c r="C64" s="32"/>
      <c r="D64" s="586" t="s">
        <v>167</v>
      </c>
      <c r="E64" s="586"/>
      <c r="F64" s="587"/>
      <c r="G64" s="95" t="str">
        <f>収支予算書!G64</f>
        <v>事務用品（A4コピー用紙1束、インクカートリッジ）</v>
      </c>
      <c r="H64" s="131">
        <f>収支予算書!J64</f>
        <v>2300</v>
      </c>
      <c r="I64" s="608" t="str">
        <f>実績入力フォーム!B282&amp;""</f>
        <v>事務用品（A4コピー用紙1束、インクカートリッジ）</v>
      </c>
      <c r="J64" s="609"/>
      <c r="K64" s="131">
        <f>IF(実績入力フォーム!B283="","", 実績入力フォーム!B283)</f>
        <v>2300</v>
      </c>
      <c r="L64" s="156"/>
    </row>
    <row r="65" spans="2:12" ht="13.2" customHeight="1" x14ac:dyDescent="0.45">
      <c r="B65" s="35"/>
      <c r="C65" s="32"/>
      <c r="D65" s="32"/>
      <c r="E65" s="32"/>
      <c r="F65" s="32"/>
      <c r="G65" s="95" t="str">
        <f>収支予算書!G65</f>
        <v>打合せ・当日参加者用水分補給用飲料（500mlペットボトル）</v>
      </c>
      <c r="H65" s="131">
        <f>収支予算書!J65</f>
        <v>8100</v>
      </c>
      <c r="I65" s="608" t="str">
        <f>実績入力フォーム!B284&amp;""</f>
        <v>打合せ・当日参加者用水分補給用飲料（500mlペットボトル）</v>
      </c>
      <c r="J65" s="609"/>
      <c r="K65" s="131">
        <f>IF(実績入力フォーム!B285="","", 実績入力フォーム!B285)</f>
        <v>8100</v>
      </c>
      <c r="L65" s="156"/>
    </row>
    <row r="66" spans="2:12" ht="13.2" customHeight="1" x14ac:dyDescent="0.45">
      <c r="B66" s="35"/>
      <c r="C66" s="32"/>
      <c r="D66" s="32"/>
      <c r="E66" s="32"/>
      <c r="F66" s="22"/>
      <c r="G66" s="96" t="str">
        <f>収支予算書!G66</f>
        <v/>
      </c>
      <c r="H66" s="149" t="str">
        <f>収支予算書!J66</f>
        <v/>
      </c>
      <c r="I66" s="610" t="str">
        <f>実績入力フォーム!B286&amp;""</f>
        <v/>
      </c>
      <c r="J66" s="611"/>
      <c r="K66" s="133" t="str">
        <f>IF(実績入力フォーム!B287="","", 実績入力フォーム!B287)</f>
        <v/>
      </c>
      <c r="L66" s="156"/>
    </row>
    <row r="67" spans="2:12" ht="13.2" customHeight="1" x14ac:dyDescent="0.45">
      <c r="B67" s="35"/>
      <c r="C67" s="46"/>
      <c r="D67" s="46"/>
      <c r="E67" s="46"/>
      <c r="F67" s="26"/>
      <c r="G67" s="68" t="s">
        <v>168</v>
      </c>
      <c r="H67" s="148">
        <f>IF(入力フォーム!B369="いいえ",0,IF(入力フォーム!B369="はい",SUM(H63:H66),""))</f>
        <v>35400</v>
      </c>
      <c r="I67" s="612"/>
      <c r="J67" s="613"/>
      <c r="K67" s="135">
        <f>IF(実績入力フォーム!B275="いいえ",0,IF(実績入力フォーム!B275="はい",SUM(K63:K66),""))</f>
        <v>35400</v>
      </c>
      <c r="L67" s="155"/>
    </row>
    <row r="68" spans="2:12" ht="2.4" customHeight="1" x14ac:dyDescent="0.45">
      <c r="B68" s="35"/>
      <c r="C68" s="32"/>
      <c r="D68" s="32"/>
      <c r="E68" s="32"/>
      <c r="F68" s="28"/>
      <c r="G68" s="31"/>
      <c r="H68" s="150"/>
      <c r="I68" s="614"/>
      <c r="J68" s="615"/>
      <c r="K68" s="136"/>
      <c r="L68" s="153"/>
    </row>
    <row r="69" spans="2:12" ht="13.2" customHeight="1" x14ac:dyDescent="0.45">
      <c r="B69" s="35"/>
      <c r="C69" s="97" t="s">
        <v>169</v>
      </c>
      <c r="D69" s="97"/>
      <c r="E69" s="97"/>
      <c r="F69" s="97"/>
      <c r="G69" s="71" t="s">
        <v>170</v>
      </c>
      <c r="H69" s="137">
        <f>IF(SUM(H62,H67)&lt;&gt;0,SUM(H62,H67),"")</f>
        <v>262400</v>
      </c>
      <c r="I69" s="616"/>
      <c r="J69" s="617"/>
      <c r="K69" s="137">
        <f>IF(SUM(K62,K67)&lt;&gt;0,SUM(K62,K67),"")</f>
        <v>262400</v>
      </c>
      <c r="L69" s="153"/>
    </row>
    <row r="70" spans="2:12" ht="2.4" customHeight="1" x14ac:dyDescent="0.45">
      <c r="B70" s="35"/>
      <c r="C70" s="32"/>
      <c r="D70" s="32"/>
      <c r="E70" s="32"/>
      <c r="F70" s="32"/>
      <c r="G70" s="98"/>
      <c r="H70" s="128"/>
      <c r="I70" s="618"/>
      <c r="J70" s="619"/>
      <c r="K70" s="138"/>
      <c r="L70" s="157"/>
    </row>
    <row r="71" spans="2:12" ht="13.2" customHeight="1" x14ac:dyDescent="0.45">
      <c r="B71" s="35"/>
      <c r="C71" s="97" t="s">
        <v>171</v>
      </c>
      <c r="D71" s="97"/>
      <c r="E71" s="97"/>
      <c r="F71" s="97"/>
      <c r="G71" s="99"/>
      <c r="H71" s="151">
        <f>IFERROR(H12-H69,"")</f>
        <v>0</v>
      </c>
      <c r="I71" s="620"/>
      <c r="J71" s="621"/>
      <c r="K71" s="139">
        <f>IFERROR(K12-K69,"")</f>
        <v>0</v>
      </c>
      <c r="L71" s="158"/>
    </row>
    <row r="72" spans="2:12" ht="5.4" customHeight="1" thickBot="1" x14ac:dyDescent="0.5">
      <c r="B72" s="69"/>
      <c r="C72" s="70"/>
      <c r="D72" s="70"/>
      <c r="E72" s="70"/>
      <c r="F72" s="70"/>
      <c r="G72" s="70"/>
      <c r="H72" s="70"/>
      <c r="I72" s="70"/>
      <c r="J72" s="70"/>
      <c r="K72" s="123"/>
      <c r="L72" s="159"/>
    </row>
    <row r="73" spans="2:12" ht="14.1" customHeight="1" x14ac:dyDescent="0.45"/>
  </sheetData>
  <sheetProtection sheet="1" objects="1" scenarios="1"/>
  <mergeCells count="76">
    <mergeCell ref="I8:J8"/>
    <mergeCell ref="I9:J9"/>
    <mergeCell ref="I10:J10"/>
    <mergeCell ref="I11:J11"/>
    <mergeCell ref="I12:J12"/>
    <mergeCell ref="I67:J67"/>
    <mergeCell ref="I68:J68"/>
    <mergeCell ref="I69:J69"/>
    <mergeCell ref="I70:J70"/>
    <mergeCell ref="I71:J71"/>
    <mergeCell ref="I63:J63"/>
    <mergeCell ref="I64:J64"/>
    <mergeCell ref="I65:J65"/>
    <mergeCell ref="I66:J66"/>
    <mergeCell ref="I62:J62"/>
    <mergeCell ref="I57:J57"/>
    <mergeCell ref="I58:J58"/>
    <mergeCell ref="I59:J59"/>
    <mergeCell ref="I60:J60"/>
    <mergeCell ref="I61:J61"/>
    <mergeCell ref="I52:J52"/>
    <mergeCell ref="I53:J53"/>
    <mergeCell ref="I54:J54"/>
    <mergeCell ref="I55:J55"/>
    <mergeCell ref="I56:J56"/>
    <mergeCell ref="I47:J47"/>
    <mergeCell ref="I48:J48"/>
    <mergeCell ref="I49:J49"/>
    <mergeCell ref="I50:J50"/>
    <mergeCell ref="I51:J51"/>
    <mergeCell ref="I42:J42"/>
    <mergeCell ref="I43:J43"/>
    <mergeCell ref="I44:J44"/>
    <mergeCell ref="I45:J45"/>
    <mergeCell ref="I46:J46"/>
    <mergeCell ref="I37:J37"/>
    <mergeCell ref="I38:J38"/>
    <mergeCell ref="I39:J39"/>
    <mergeCell ref="I40:J40"/>
    <mergeCell ref="I41:J41"/>
    <mergeCell ref="I32:J32"/>
    <mergeCell ref="I33:J33"/>
    <mergeCell ref="I34:J34"/>
    <mergeCell ref="I35:J35"/>
    <mergeCell ref="I36:J36"/>
    <mergeCell ref="I27:J27"/>
    <mergeCell ref="I28:J28"/>
    <mergeCell ref="I29:J29"/>
    <mergeCell ref="I30:J30"/>
    <mergeCell ref="I31:J31"/>
    <mergeCell ref="I22:J22"/>
    <mergeCell ref="I23:J23"/>
    <mergeCell ref="I24:J24"/>
    <mergeCell ref="I25:J25"/>
    <mergeCell ref="I26:J26"/>
    <mergeCell ref="I17:J17"/>
    <mergeCell ref="I18:J18"/>
    <mergeCell ref="I19:J19"/>
    <mergeCell ref="I20:J20"/>
    <mergeCell ref="I21:J21"/>
    <mergeCell ref="J3:L3"/>
    <mergeCell ref="C63:F63"/>
    <mergeCell ref="D64:F64"/>
    <mergeCell ref="D25:F25"/>
    <mergeCell ref="D42:F42"/>
    <mergeCell ref="D46:F46"/>
    <mergeCell ref="D50:F50"/>
    <mergeCell ref="D54:F54"/>
    <mergeCell ref="D58:F58"/>
    <mergeCell ref="D21:F21"/>
    <mergeCell ref="I5:J5"/>
    <mergeCell ref="I13:J13"/>
    <mergeCell ref="B5:F5"/>
    <mergeCell ref="D9:F9"/>
    <mergeCell ref="B13:F13"/>
    <mergeCell ref="D17:F17"/>
  </mergeCells>
  <phoneticPr fontId="1"/>
  <dataValidations count="1">
    <dataValidation imeMode="off" allowBlank="1" showInputMessage="1" showErrorMessage="1" sqref="K63:K65 K69:K71 K14:K60" xr:uid="{00000000-0002-0000-0B00-000000000000}"/>
  </dataValidations>
  <printOptions horizontalCentered="1"/>
  <pageMargins left="0.55118110236220474" right="0.35433070866141736" top="0.23622047244094491" bottom="0.19685039370078741" header="0.11811023622047245" footer="0.11811023622047245"/>
  <pageSetup paperSize="9" scale="86"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M37"/>
  <sheetViews>
    <sheetView view="pageBreakPreview" zoomScale="60" zoomScaleNormal="100" workbookViewId="0">
      <selection activeCell="H14" sqref="H14"/>
    </sheetView>
  </sheetViews>
  <sheetFormatPr defaultRowHeight="14.4" x14ac:dyDescent="0.45"/>
  <cols>
    <col min="1" max="1" width="2.19921875" style="72" customWidth="1"/>
    <col min="2" max="5" width="6.296875" style="72" customWidth="1"/>
    <col min="6" max="7" width="6.19921875" style="72" customWidth="1"/>
    <col min="8" max="11" width="6.5" style="72" customWidth="1"/>
    <col min="12" max="12" width="11.296875" style="72" customWidth="1"/>
    <col min="13" max="13" width="4.5" style="72" customWidth="1"/>
    <col min="14" max="16384" width="8.796875" style="72"/>
  </cols>
  <sheetData>
    <row r="2" spans="1:13" ht="18" customHeight="1" x14ac:dyDescent="0.45">
      <c r="A2" s="73"/>
      <c r="L2" s="74"/>
      <c r="M2" s="74" t="s">
        <v>255</v>
      </c>
    </row>
    <row r="3" spans="1:13" ht="18" customHeight="1" x14ac:dyDescent="0.45"/>
    <row r="5" spans="1:13" ht="21" x14ac:dyDescent="0.45">
      <c r="A5" s="82" t="s">
        <v>249</v>
      </c>
      <c r="B5" s="13"/>
      <c r="C5" s="13"/>
      <c r="D5" s="13"/>
      <c r="E5" s="13"/>
      <c r="F5" s="13"/>
      <c r="G5" s="13"/>
      <c r="H5" s="13"/>
      <c r="I5" s="13"/>
      <c r="J5" s="13"/>
      <c r="K5" s="13"/>
      <c r="L5" s="13"/>
    </row>
    <row r="7" spans="1:13" x14ac:dyDescent="0.45">
      <c r="M7" s="74" t="s">
        <v>292</v>
      </c>
    </row>
    <row r="9" spans="1:13" x14ac:dyDescent="0.45">
      <c r="A9" s="72" t="s">
        <v>250</v>
      </c>
    </row>
    <row r="11" spans="1:13" x14ac:dyDescent="0.45">
      <c r="A11" s="72" t="s">
        <v>253</v>
      </c>
    </row>
    <row r="12" spans="1:13" x14ac:dyDescent="0.45">
      <c r="A12" s="72" t="s">
        <v>254</v>
      </c>
    </row>
    <row r="14" spans="1:13" x14ac:dyDescent="0.45">
      <c r="A14" s="72" t="s">
        <v>251</v>
      </c>
      <c r="D14" s="72" t="s">
        <v>631</v>
      </c>
      <c r="H14" s="72" t="str">
        <f>IF(AND(入力フォーム!D36="Ｃ",入力フォーム!B2&lt;&gt;""),入力フォーム!B2,"")</f>
        <v/>
      </c>
    </row>
    <row r="15" spans="1:13" x14ac:dyDescent="0.45">
      <c r="D15" s="72" t="s">
        <v>632</v>
      </c>
      <c r="K15" s="74"/>
      <c r="L15" s="72" t="s">
        <v>633</v>
      </c>
    </row>
    <row r="17" spans="1:12" x14ac:dyDescent="0.45">
      <c r="A17" s="72" t="s">
        <v>252</v>
      </c>
    </row>
    <row r="18" spans="1:12" ht="23.4" customHeight="1" x14ac:dyDescent="0.45">
      <c r="B18" s="75" t="s">
        <v>631</v>
      </c>
      <c r="C18" s="76"/>
      <c r="D18" s="76"/>
      <c r="E18" s="76"/>
      <c r="F18" s="76"/>
      <c r="G18" s="77"/>
      <c r="H18" s="75" t="s">
        <v>631</v>
      </c>
      <c r="I18" s="76"/>
      <c r="J18" s="76"/>
      <c r="K18" s="76"/>
      <c r="L18" s="77"/>
    </row>
    <row r="19" spans="1:12" ht="23.4" customHeight="1" x14ac:dyDescent="0.45">
      <c r="B19" s="630" t="str">
        <f>IF(AND(入力フォーム!D36="Ｃ",入力フォーム!B46&lt;&gt;""),入力フォーム!B46,"")</f>
        <v/>
      </c>
      <c r="C19" s="450"/>
      <c r="D19" s="450"/>
      <c r="E19" s="450"/>
      <c r="F19" s="450"/>
      <c r="G19" s="631"/>
      <c r="H19" s="630" t="str">
        <f>IF(AND(入力フォーム!D36="Ｃ",入力フォーム!B51&lt;&gt;""),入力フォーム!B51,"")</f>
        <v/>
      </c>
      <c r="I19" s="450"/>
      <c r="J19" s="450"/>
      <c r="K19" s="450"/>
      <c r="L19" s="631"/>
    </row>
    <row r="20" spans="1:12" ht="23.4" customHeight="1" x14ac:dyDescent="0.45">
      <c r="B20" s="78" t="s">
        <v>632</v>
      </c>
      <c r="G20" s="79"/>
      <c r="H20" s="78" t="s">
        <v>632</v>
      </c>
      <c r="L20" s="79"/>
    </row>
    <row r="21" spans="1:12" ht="23.4" customHeight="1" x14ac:dyDescent="0.45">
      <c r="B21" s="80"/>
      <c r="C21" s="81"/>
      <c r="D21" s="81"/>
      <c r="E21" s="81"/>
      <c r="F21" s="81"/>
      <c r="G21" s="83" t="s">
        <v>633</v>
      </c>
      <c r="H21" s="80"/>
      <c r="I21" s="81"/>
      <c r="J21" s="81"/>
      <c r="K21" s="81"/>
      <c r="L21" s="83" t="s">
        <v>634</v>
      </c>
    </row>
    <row r="22" spans="1:12" ht="23.4" customHeight="1" x14ac:dyDescent="0.45">
      <c r="B22" s="75" t="s">
        <v>631</v>
      </c>
      <c r="C22" s="76"/>
      <c r="D22" s="76"/>
      <c r="E22" s="76"/>
      <c r="F22" s="76"/>
      <c r="G22" s="77"/>
      <c r="H22" s="75" t="s">
        <v>631</v>
      </c>
      <c r="I22" s="76"/>
      <c r="J22" s="76"/>
      <c r="K22" s="76"/>
      <c r="L22" s="77"/>
    </row>
    <row r="23" spans="1:12" ht="23.4" customHeight="1" x14ac:dyDescent="0.45">
      <c r="B23" s="630" t="str">
        <f>IF(AND(入力フォーム!D36="Ｃ",入力フォーム!B56&lt;&gt;""),入力フォーム!B56,"")</f>
        <v/>
      </c>
      <c r="C23" s="450"/>
      <c r="D23" s="450"/>
      <c r="E23" s="450"/>
      <c r="F23" s="450"/>
      <c r="G23" s="631"/>
      <c r="H23" s="630" t="str">
        <f>IF(AND(入力フォーム!D36="Ｃ",入力フォーム!B61&lt;&gt;""),入力フォーム!B61,"")</f>
        <v/>
      </c>
      <c r="I23" s="450"/>
      <c r="J23" s="450"/>
      <c r="K23" s="450"/>
      <c r="L23" s="631"/>
    </row>
    <row r="24" spans="1:12" ht="23.4" customHeight="1" x14ac:dyDescent="0.45">
      <c r="B24" s="78" t="s">
        <v>632</v>
      </c>
      <c r="G24" s="79"/>
      <c r="H24" s="78" t="s">
        <v>632</v>
      </c>
      <c r="L24" s="79"/>
    </row>
    <row r="25" spans="1:12" ht="23.4" customHeight="1" x14ac:dyDescent="0.45">
      <c r="B25" s="80"/>
      <c r="C25" s="81"/>
      <c r="D25" s="81"/>
      <c r="E25" s="81"/>
      <c r="F25" s="81"/>
      <c r="G25" s="83" t="s">
        <v>633</v>
      </c>
      <c r="H25" s="80"/>
      <c r="I25" s="81"/>
      <c r="J25" s="81"/>
      <c r="K25" s="81"/>
      <c r="L25" s="83" t="s">
        <v>634</v>
      </c>
    </row>
    <row r="26" spans="1:12" ht="23.4" customHeight="1" x14ac:dyDescent="0.45">
      <c r="B26" s="75" t="s">
        <v>631</v>
      </c>
      <c r="C26" s="76"/>
      <c r="D26" s="76"/>
      <c r="E26" s="76"/>
      <c r="F26" s="76"/>
      <c r="G26" s="77"/>
      <c r="H26" s="75" t="s">
        <v>631</v>
      </c>
      <c r="I26" s="76"/>
      <c r="J26" s="76"/>
      <c r="K26" s="76"/>
      <c r="L26" s="77"/>
    </row>
    <row r="27" spans="1:12" ht="23.4" customHeight="1" x14ac:dyDescent="0.45">
      <c r="B27" s="630" t="str">
        <f>IF(AND(入力フォーム!D36="Ｃ",入力フォーム!B66&lt;&gt;""),入力フォーム!B66,"")</f>
        <v/>
      </c>
      <c r="C27" s="450"/>
      <c r="D27" s="450"/>
      <c r="E27" s="450"/>
      <c r="F27" s="450"/>
      <c r="G27" s="631"/>
      <c r="H27" s="630" t="str">
        <f>IF(AND(入力フォーム!D36="Ｃ",入力フォーム!B71&lt;&gt;""),入力フォーム!B71,"")</f>
        <v/>
      </c>
      <c r="I27" s="450"/>
      <c r="J27" s="450"/>
      <c r="K27" s="450"/>
      <c r="L27" s="631"/>
    </row>
    <row r="28" spans="1:12" ht="23.4" customHeight="1" x14ac:dyDescent="0.45">
      <c r="B28" s="78" t="s">
        <v>632</v>
      </c>
      <c r="G28" s="79"/>
      <c r="H28" s="78" t="s">
        <v>632</v>
      </c>
      <c r="L28" s="79"/>
    </row>
    <row r="29" spans="1:12" ht="23.4" customHeight="1" x14ac:dyDescent="0.45">
      <c r="B29" s="80"/>
      <c r="C29" s="81"/>
      <c r="D29" s="81"/>
      <c r="E29" s="81"/>
      <c r="F29" s="81"/>
      <c r="G29" s="83" t="s">
        <v>633</v>
      </c>
      <c r="H29" s="80"/>
      <c r="I29" s="81"/>
      <c r="J29" s="81"/>
      <c r="K29" s="81"/>
      <c r="L29" s="83" t="s">
        <v>634</v>
      </c>
    </row>
    <row r="30" spans="1:12" ht="23.4" customHeight="1" x14ac:dyDescent="0.45">
      <c r="B30" s="75" t="s">
        <v>631</v>
      </c>
      <c r="C30" s="76"/>
      <c r="D30" s="76"/>
      <c r="E30" s="76"/>
      <c r="F30" s="76"/>
      <c r="G30" s="77"/>
      <c r="H30" s="75" t="s">
        <v>631</v>
      </c>
      <c r="I30" s="76"/>
      <c r="J30" s="76"/>
      <c r="K30" s="76"/>
      <c r="L30" s="77"/>
    </row>
    <row r="31" spans="1:12" ht="23.4" customHeight="1" x14ac:dyDescent="0.45">
      <c r="B31" s="630" t="str">
        <f>IF(AND(入力フォーム!D36="Ｃ",入力フォーム!B76&lt;&gt;""),入力フォーム!B76,"")</f>
        <v/>
      </c>
      <c r="C31" s="450"/>
      <c r="D31" s="450"/>
      <c r="E31" s="450"/>
      <c r="F31" s="450"/>
      <c r="G31" s="631"/>
      <c r="H31" s="630"/>
      <c r="I31" s="450"/>
      <c r="J31" s="450"/>
      <c r="K31" s="450"/>
      <c r="L31" s="631"/>
    </row>
    <row r="32" spans="1:12" ht="23.4" customHeight="1" x14ac:dyDescent="0.45">
      <c r="B32" s="78" t="s">
        <v>632</v>
      </c>
      <c r="G32" s="79"/>
      <c r="H32" s="78" t="s">
        <v>632</v>
      </c>
      <c r="L32" s="79"/>
    </row>
    <row r="33" spans="2:12" ht="23.4" customHeight="1" x14ac:dyDescent="0.45">
      <c r="B33" s="80"/>
      <c r="C33" s="81"/>
      <c r="D33" s="81"/>
      <c r="E33" s="81"/>
      <c r="F33" s="81"/>
      <c r="G33" s="83" t="s">
        <v>633</v>
      </c>
      <c r="H33" s="80"/>
      <c r="I33" s="81"/>
      <c r="J33" s="81"/>
      <c r="K33" s="81"/>
      <c r="L33" s="83" t="s">
        <v>634</v>
      </c>
    </row>
    <row r="34" spans="2:12" ht="23.4" customHeight="1" x14ac:dyDescent="0.45">
      <c r="B34" s="75" t="s">
        <v>631</v>
      </c>
      <c r="C34" s="76"/>
      <c r="D34" s="76"/>
      <c r="E34" s="76"/>
      <c r="F34" s="76"/>
      <c r="G34" s="77"/>
      <c r="H34" s="75" t="s">
        <v>631</v>
      </c>
      <c r="I34" s="76"/>
      <c r="J34" s="76"/>
      <c r="K34" s="76"/>
      <c r="L34" s="77"/>
    </row>
    <row r="35" spans="2:12" ht="23.4" customHeight="1" x14ac:dyDescent="0.45">
      <c r="B35" s="630"/>
      <c r="C35" s="450"/>
      <c r="D35" s="450"/>
      <c r="E35" s="450"/>
      <c r="F35" s="450"/>
      <c r="G35" s="631"/>
      <c r="H35" s="630"/>
      <c r="I35" s="450"/>
      <c r="J35" s="450"/>
      <c r="K35" s="450"/>
      <c r="L35" s="631"/>
    </row>
    <row r="36" spans="2:12" ht="23.4" customHeight="1" x14ac:dyDescent="0.45">
      <c r="B36" s="78" t="s">
        <v>632</v>
      </c>
      <c r="G36" s="79"/>
      <c r="H36" s="78" t="s">
        <v>632</v>
      </c>
      <c r="L36" s="79"/>
    </row>
    <row r="37" spans="2:12" ht="23.4" customHeight="1" x14ac:dyDescent="0.45">
      <c r="B37" s="80"/>
      <c r="C37" s="81"/>
      <c r="D37" s="81"/>
      <c r="E37" s="81"/>
      <c r="F37" s="81"/>
      <c r="G37" s="83" t="s">
        <v>633</v>
      </c>
      <c r="H37" s="80"/>
      <c r="I37" s="81"/>
      <c r="J37" s="81"/>
      <c r="K37" s="81"/>
      <c r="L37" s="83" t="s">
        <v>634</v>
      </c>
    </row>
  </sheetData>
  <sheetProtection sheet="1" objects="1" scenarios="1"/>
  <mergeCells count="10">
    <mergeCell ref="H23:L23"/>
    <mergeCell ref="H27:L27"/>
    <mergeCell ref="H31:L31"/>
    <mergeCell ref="H35:L35"/>
    <mergeCell ref="B19:G19"/>
    <mergeCell ref="H19:L19"/>
    <mergeCell ref="B23:G23"/>
    <mergeCell ref="B27:G27"/>
    <mergeCell ref="B31:G31"/>
    <mergeCell ref="B35:G35"/>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M37"/>
  <sheetViews>
    <sheetView view="pageBreakPreview" zoomScale="60" zoomScaleNormal="100" workbookViewId="0">
      <selection activeCell="H14" sqref="H14"/>
    </sheetView>
  </sheetViews>
  <sheetFormatPr defaultRowHeight="14.4" x14ac:dyDescent="0.45"/>
  <cols>
    <col min="1" max="1" width="2.19921875" style="72" customWidth="1"/>
    <col min="2" max="5" width="6.296875" style="72" customWidth="1"/>
    <col min="6" max="7" width="6.19921875" style="72" customWidth="1"/>
    <col min="8" max="11" width="6.5" style="72" customWidth="1"/>
    <col min="12" max="12" width="11.296875" style="72" customWidth="1"/>
    <col min="13" max="13" width="4.5" style="72" customWidth="1"/>
    <col min="14" max="16384" width="8.796875" style="72"/>
  </cols>
  <sheetData>
    <row r="2" spans="1:13" ht="18" customHeight="1" x14ac:dyDescent="0.45">
      <c r="A2" s="73"/>
      <c r="L2" s="74"/>
      <c r="M2" s="74" t="s">
        <v>256</v>
      </c>
    </row>
    <row r="3" spans="1:13" ht="18" customHeight="1" x14ac:dyDescent="0.45"/>
    <row r="5" spans="1:13" ht="21" x14ac:dyDescent="0.45">
      <c r="A5" s="82" t="s">
        <v>249</v>
      </c>
      <c r="B5" s="13"/>
      <c r="C5" s="13"/>
      <c r="D5" s="13"/>
      <c r="E5" s="13"/>
      <c r="F5" s="13"/>
      <c r="G5" s="13"/>
      <c r="H5" s="13"/>
      <c r="I5" s="13"/>
      <c r="J5" s="13"/>
      <c r="K5" s="13"/>
      <c r="L5" s="13"/>
    </row>
    <row r="7" spans="1:13" x14ac:dyDescent="0.45">
      <c r="M7" s="74" t="s">
        <v>345</v>
      </c>
    </row>
    <row r="9" spans="1:13" x14ac:dyDescent="0.45">
      <c r="A9" s="72" t="s">
        <v>250</v>
      </c>
    </row>
    <row r="11" spans="1:13" x14ac:dyDescent="0.45">
      <c r="A11" s="72" t="s">
        <v>253</v>
      </c>
    </row>
    <row r="12" spans="1:13" x14ac:dyDescent="0.45">
      <c r="A12" s="72" t="s">
        <v>254</v>
      </c>
    </row>
    <row r="14" spans="1:13" x14ac:dyDescent="0.45">
      <c r="A14" s="72" t="s">
        <v>257</v>
      </c>
      <c r="D14" s="72" t="s">
        <v>631</v>
      </c>
      <c r="H14" s="72" t="str">
        <f>IF(AND(入力フォーム!D36="Ｄ",入力フォーム!B2&lt;&gt;""),入力フォーム!B2,"")</f>
        <v/>
      </c>
    </row>
    <row r="15" spans="1:13" x14ac:dyDescent="0.45">
      <c r="D15" s="72" t="s">
        <v>632</v>
      </c>
      <c r="K15" s="74"/>
      <c r="L15" s="72" t="s">
        <v>633</v>
      </c>
    </row>
    <row r="17" spans="1:12" x14ac:dyDescent="0.45">
      <c r="A17" s="72" t="s">
        <v>258</v>
      </c>
    </row>
    <row r="18" spans="1:12" ht="23.4" customHeight="1" x14ac:dyDescent="0.45">
      <c r="B18" s="75" t="s">
        <v>631</v>
      </c>
      <c r="C18" s="76"/>
      <c r="D18" s="76"/>
      <c r="E18" s="76"/>
      <c r="F18" s="76"/>
      <c r="G18" s="77"/>
      <c r="H18" s="75" t="s">
        <v>631</v>
      </c>
      <c r="I18" s="76"/>
      <c r="J18" s="76"/>
      <c r="K18" s="76"/>
      <c r="L18" s="77"/>
    </row>
    <row r="19" spans="1:12" ht="23.4" customHeight="1" x14ac:dyDescent="0.45">
      <c r="B19" s="630" t="str">
        <f>IF(AND(入力フォーム!D36="Ｄ",入力フォーム!B46&lt;&gt;""),入力フォーム!B46,"")</f>
        <v/>
      </c>
      <c r="C19" s="450"/>
      <c r="D19" s="450"/>
      <c r="E19" s="450"/>
      <c r="F19" s="450"/>
      <c r="G19" s="631"/>
      <c r="H19" s="630" t="str">
        <f>IF(AND(入力フォーム!D36="Ｄ",入力フォーム!B51&lt;&gt;""),入力フォーム!B51,"")</f>
        <v/>
      </c>
      <c r="I19" s="450"/>
      <c r="J19" s="450"/>
      <c r="K19" s="450"/>
      <c r="L19" s="631"/>
    </row>
    <row r="20" spans="1:12" ht="23.4" customHeight="1" x14ac:dyDescent="0.45">
      <c r="B20" s="78" t="s">
        <v>632</v>
      </c>
      <c r="G20" s="79"/>
      <c r="H20" s="78" t="s">
        <v>632</v>
      </c>
      <c r="L20" s="79"/>
    </row>
    <row r="21" spans="1:12" ht="23.4" customHeight="1" x14ac:dyDescent="0.45">
      <c r="B21" s="80"/>
      <c r="C21" s="81"/>
      <c r="D21" s="81"/>
      <c r="E21" s="81"/>
      <c r="F21" s="81"/>
      <c r="G21" s="83" t="s">
        <v>633</v>
      </c>
      <c r="H21" s="80"/>
      <c r="I21" s="81"/>
      <c r="J21" s="81"/>
      <c r="K21" s="81"/>
      <c r="L21" s="83" t="s">
        <v>634</v>
      </c>
    </row>
    <row r="22" spans="1:12" ht="23.4" customHeight="1" x14ac:dyDescent="0.45">
      <c r="B22" s="75" t="s">
        <v>631</v>
      </c>
      <c r="C22" s="76"/>
      <c r="D22" s="76"/>
      <c r="E22" s="76"/>
      <c r="F22" s="76"/>
      <c r="G22" s="77"/>
      <c r="H22" s="75" t="s">
        <v>631</v>
      </c>
      <c r="I22" s="76"/>
      <c r="J22" s="76"/>
      <c r="K22" s="76"/>
      <c r="L22" s="77"/>
    </row>
    <row r="23" spans="1:12" ht="23.4" customHeight="1" x14ac:dyDescent="0.45">
      <c r="B23" s="630" t="str">
        <f>IF(AND(入力フォーム!D36="Ｄ",入力フォーム!B56&lt;&gt;""),入力フォーム!B56,"")</f>
        <v/>
      </c>
      <c r="C23" s="450"/>
      <c r="D23" s="450"/>
      <c r="E23" s="450"/>
      <c r="F23" s="450"/>
      <c r="G23" s="631"/>
      <c r="H23" s="630" t="str">
        <f>IF(AND(入力フォーム!D36="Ｄ",入力フォーム!B61&lt;&gt;""),入力フォーム!B61,"")</f>
        <v/>
      </c>
      <c r="I23" s="450"/>
      <c r="J23" s="450"/>
      <c r="K23" s="450"/>
      <c r="L23" s="631"/>
    </row>
    <row r="24" spans="1:12" ht="23.4" customHeight="1" x14ac:dyDescent="0.45">
      <c r="B24" s="78" t="s">
        <v>632</v>
      </c>
      <c r="G24" s="79"/>
      <c r="H24" s="78" t="s">
        <v>632</v>
      </c>
      <c r="L24" s="79"/>
    </row>
    <row r="25" spans="1:12" ht="23.4" customHeight="1" x14ac:dyDescent="0.45">
      <c r="B25" s="80"/>
      <c r="C25" s="81"/>
      <c r="D25" s="81"/>
      <c r="E25" s="81"/>
      <c r="F25" s="81"/>
      <c r="G25" s="83" t="s">
        <v>633</v>
      </c>
      <c r="H25" s="80"/>
      <c r="I25" s="81"/>
      <c r="J25" s="81"/>
      <c r="K25" s="81"/>
      <c r="L25" s="83" t="s">
        <v>634</v>
      </c>
    </row>
    <row r="26" spans="1:12" ht="23.4" customHeight="1" x14ac:dyDescent="0.45">
      <c r="B26" s="75" t="s">
        <v>631</v>
      </c>
      <c r="C26" s="76"/>
      <c r="D26" s="76"/>
      <c r="E26" s="76"/>
      <c r="F26" s="76"/>
      <c r="G26" s="77"/>
      <c r="H26" s="75" t="s">
        <v>631</v>
      </c>
      <c r="I26" s="76"/>
      <c r="J26" s="76"/>
      <c r="K26" s="76"/>
      <c r="L26" s="77"/>
    </row>
    <row r="27" spans="1:12" ht="23.4" customHeight="1" x14ac:dyDescent="0.45">
      <c r="B27" s="630" t="str">
        <f>IF(AND(入力フォーム!D36="Ｄ",入力フォーム!B66&lt;&gt;""),入力フォーム!B66,"")</f>
        <v/>
      </c>
      <c r="C27" s="450"/>
      <c r="D27" s="450"/>
      <c r="E27" s="450"/>
      <c r="F27" s="450"/>
      <c r="G27" s="631"/>
      <c r="H27" s="630" t="str">
        <f>IF(AND(入力フォーム!D36="Ｄ",入力フォーム!B71&lt;&gt;""),入力フォーム!B71,"")</f>
        <v/>
      </c>
      <c r="I27" s="450"/>
      <c r="J27" s="450"/>
      <c r="K27" s="450"/>
      <c r="L27" s="631"/>
    </row>
    <row r="28" spans="1:12" ht="23.4" customHeight="1" x14ac:dyDescent="0.45">
      <c r="B28" s="78" t="s">
        <v>632</v>
      </c>
      <c r="G28" s="79"/>
      <c r="H28" s="78" t="s">
        <v>632</v>
      </c>
      <c r="L28" s="79"/>
    </row>
    <row r="29" spans="1:12" ht="23.4" customHeight="1" x14ac:dyDescent="0.45">
      <c r="B29" s="80"/>
      <c r="C29" s="81"/>
      <c r="D29" s="81"/>
      <c r="E29" s="81"/>
      <c r="F29" s="81"/>
      <c r="G29" s="83" t="s">
        <v>633</v>
      </c>
      <c r="H29" s="80"/>
      <c r="I29" s="81"/>
      <c r="J29" s="81"/>
      <c r="K29" s="81"/>
      <c r="L29" s="83" t="s">
        <v>634</v>
      </c>
    </row>
    <row r="30" spans="1:12" ht="23.4" customHeight="1" x14ac:dyDescent="0.45">
      <c r="B30" s="75" t="s">
        <v>631</v>
      </c>
      <c r="C30" s="76"/>
      <c r="D30" s="76"/>
      <c r="E30" s="76"/>
      <c r="F30" s="76"/>
      <c r="G30" s="77"/>
      <c r="H30" s="75" t="s">
        <v>631</v>
      </c>
      <c r="I30" s="76"/>
      <c r="J30" s="76"/>
      <c r="K30" s="76"/>
      <c r="L30" s="77"/>
    </row>
    <row r="31" spans="1:12" ht="23.4" customHeight="1" x14ac:dyDescent="0.45">
      <c r="B31" s="630" t="str">
        <f>IF(AND(入力フォーム!D36="Ｄ",入力フォーム!B76&lt;&gt;""),入力フォーム!B76,"")</f>
        <v/>
      </c>
      <c r="C31" s="450"/>
      <c r="D31" s="450"/>
      <c r="E31" s="450"/>
      <c r="F31" s="450"/>
      <c r="G31" s="631"/>
      <c r="H31" s="630"/>
      <c r="I31" s="450"/>
      <c r="J31" s="450"/>
      <c r="K31" s="450"/>
      <c r="L31" s="631"/>
    </row>
    <row r="32" spans="1:12" ht="23.4" customHeight="1" x14ac:dyDescent="0.45">
      <c r="B32" s="78" t="s">
        <v>632</v>
      </c>
      <c r="G32" s="79"/>
      <c r="H32" s="78" t="s">
        <v>632</v>
      </c>
      <c r="L32" s="79"/>
    </row>
    <row r="33" spans="2:12" ht="23.4" customHeight="1" x14ac:dyDescent="0.45">
      <c r="B33" s="80"/>
      <c r="C33" s="81"/>
      <c r="D33" s="81"/>
      <c r="E33" s="81"/>
      <c r="F33" s="81"/>
      <c r="G33" s="83" t="s">
        <v>633</v>
      </c>
      <c r="H33" s="80"/>
      <c r="I33" s="81"/>
      <c r="J33" s="81"/>
      <c r="K33" s="81"/>
      <c r="L33" s="83" t="s">
        <v>634</v>
      </c>
    </row>
    <row r="34" spans="2:12" ht="23.4" customHeight="1" x14ac:dyDescent="0.45">
      <c r="B34" s="75" t="s">
        <v>631</v>
      </c>
      <c r="C34" s="76"/>
      <c r="D34" s="76"/>
      <c r="E34" s="76"/>
      <c r="F34" s="76"/>
      <c r="G34" s="77"/>
      <c r="H34" s="75" t="s">
        <v>631</v>
      </c>
      <c r="I34" s="76"/>
      <c r="J34" s="76"/>
      <c r="K34" s="76"/>
      <c r="L34" s="77"/>
    </row>
    <row r="35" spans="2:12" ht="23.4" customHeight="1" x14ac:dyDescent="0.45">
      <c r="B35" s="630"/>
      <c r="C35" s="450"/>
      <c r="D35" s="450"/>
      <c r="E35" s="450"/>
      <c r="F35" s="450"/>
      <c r="G35" s="631"/>
      <c r="H35" s="630"/>
      <c r="I35" s="450"/>
      <c r="J35" s="450"/>
      <c r="K35" s="450"/>
      <c r="L35" s="631"/>
    </row>
    <row r="36" spans="2:12" ht="23.4" customHeight="1" x14ac:dyDescent="0.45">
      <c r="B36" s="78" t="s">
        <v>632</v>
      </c>
      <c r="G36" s="79"/>
      <c r="H36" s="78" t="s">
        <v>632</v>
      </c>
      <c r="L36" s="79"/>
    </row>
    <row r="37" spans="2:12" ht="23.4" customHeight="1" x14ac:dyDescent="0.45">
      <c r="B37" s="80"/>
      <c r="C37" s="81"/>
      <c r="D37" s="81"/>
      <c r="E37" s="81"/>
      <c r="F37" s="81"/>
      <c r="G37" s="83" t="s">
        <v>633</v>
      </c>
      <c r="H37" s="80"/>
      <c r="I37" s="81"/>
      <c r="J37" s="81"/>
      <c r="K37" s="81"/>
      <c r="L37" s="83" t="s">
        <v>634</v>
      </c>
    </row>
  </sheetData>
  <sheetProtection sheet="1" objects="1" scenarios="1"/>
  <mergeCells count="10">
    <mergeCell ref="B31:G31"/>
    <mergeCell ref="H31:L31"/>
    <mergeCell ref="B35:G35"/>
    <mergeCell ref="H35:L35"/>
    <mergeCell ref="B19:G19"/>
    <mergeCell ref="H19:L19"/>
    <mergeCell ref="B23:G23"/>
    <mergeCell ref="H23:L23"/>
    <mergeCell ref="B27:G27"/>
    <mergeCell ref="H27:L27"/>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231F4-8A1F-433C-9AF1-838877C7A426}">
  <dimension ref="A5:I46"/>
  <sheetViews>
    <sheetView view="pageBreakPreview" topLeftCell="A6" zoomScaleNormal="100" zoomScaleSheetLayoutView="100" workbookViewId="0">
      <selection activeCell="G34" sqref="G34"/>
    </sheetView>
  </sheetViews>
  <sheetFormatPr defaultRowHeight="13.2" x14ac:dyDescent="0.45"/>
  <cols>
    <col min="1" max="2" width="3.19921875" style="11" customWidth="1"/>
    <col min="3" max="3" width="7.296875" style="11" customWidth="1"/>
    <col min="4" max="4" width="15.5" style="11" customWidth="1"/>
    <col min="5" max="5" width="3.19921875" style="11" customWidth="1"/>
    <col min="6" max="6" width="13" style="11" customWidth="1"/>
    <col min="7" max="7" width="11.296875" style="11" customWidth="1"/>
    <col min="8" max="8" width="30.8984375" style="11" customWidth="1"/>
    <col min="9" max="9" width="2.69921875" style="11" customWidth="1"/>
    <col min="10" max="13" width="9.5" style="11" customWidth="1"/>
    <col min="14" max="16384" width="8.796875" style="11"/>
  </cols>
  <sheetData>
    <row r="5" spans="1:9" x14ac:dyDescent="0.45">
      <c r="A5" s="10"/>
      <c r="B5" s="10"/>
      <c r="C5" s="10"/>
      <c r="D5" s="10"/>
      <c r="E5" s="10"/>
    </row>
    <row r="6" spans="1:9" ht="14.4" x14ac:dyDescent="0.45">
      <c r="A6" s="315" t="s">
        <v>498</v>
      </c>
      <c r="B6" s="12"/>
      <c r="C6" s="12"/>
      <c r="D6" s="12"/>
      <c r="E6" s="12"/>
    </row>
    <row r="8" spans="1:9" ht="14.4" x14ac:dyDescent="0.45">
      <c r="I8" s="74" t="s">
        <v>5</v>
      </c>
    </row>
    <row r="9" spans="1:9" ht="14.4" x14ac:dyDescent="0.45">
      <c r="A9" s="72" t="s">
        <v>2</v>
      </c>
    </row>
    <row r="10" spans="1:9" ht="15" thickBot="1" x14ac:dyDescent="0.5">
      <c r="G10" s="72"/>
      <c r="H10" s="72"/>
    </row>
    <row r="11" spans="1:9" ht="26.4" customHeight="1" thickBot="1" x14ac:dyDescent="0.5">
      <c r="B11" s="504" t="s">
        <v>11</v>
      </c>
      <c r="C11" s="505"/>
      <c r="D11" s="506" t="str">
        <f>実績入力フォーム!B2&amp;""</f>
        <v>東京一丁目町会</v>
      </c>
      <c r="E11" s="506"/>
      <c r="F11" s="507"/>
      <c r="G11" s="331" t="s">
        <v>379</v>
      </c>
      <c r="H11" s="357" t="str">
        <f>実績入力フォーム!B6&amp;"　"&amp;実績入力フォーム!B7</f>
        <v>会長　東京　太郎</v>
      </c>
      <c r="I11" s="330" t="s">
        <v>14</v>
      </c>
    </row>
    <row r="12" spans="1:9" ht="13.2" customHeight="1" x14ac:dyDescent="0.45">
      <c r="B12" s="508" t="s">
        <v>12</v>
      </c>
      <c r="C12" s="509"/>
      <c r="D12" s="510" t="str">
        <f>IF(実績入力フォーム!B4="","〒",実績入力フォーム!B4)</f>
        <v>〒111-0001</v>
      </c>
      <c r="E12" s="510"/>
      <c r="F12" s="511"/>
      <c r="G12" s="419" t="s">
        <v>13</v>
      </c>
      <c r="H12" s="395" t="str">
        <f>実績入力フォーム!B8&amp;""</f>
        <v>03-5321-XXXX</v>
      </c>
      <c r="I12" s="396"/>
    </row>
    <row r="13" spans="1:9" ht="13.2" customHeight="1" x14ac:dyDescent="0.45">
      <c r="B13" s="414"/>
      <c r="C13" s="420"/>
      <c r="D13" s="502" t="str">
        <f>実績入力フォーム!B5&amp;""</f>
        <v>○○区△△１－２－１</v>
      </c>
      <c r="E13" s="502"/>
      <c r="F13" s="503"/>
      <c r="G13" s="420"/>
      <c r="H13" s="397"/>
      <c r="I13" s="398"/>
    </row>
    <row r="14" spans="1:9" ht="6.6" customHeight="1" x14ac:dyDescent="0.45">
      <c r="B14" s="335"/>
      <c r="C14" s="335"/>
      <c r="D14" s="335"/>
      <c r="E14" s="335"/>
      <c r="F14" s="323"/>
      <c r="G14" s="323"/>
      <c r="H14" s="323"/>
      <c r="I14" s="323"/>
    </row>
    <row r="15" spans="1:9" ht="13.2" customHeight="1" x14ac:dyDescent="0.45">
      <c r="B15" s="512" t="s">
        <v>404</v>
      </c>
      <c r="C15" s="512"/>
      <c r="D15" s="512"/>
      <c r="E15" s="512"/>
      <c r="F15" s="512"/>
      <c r="G15" s="512"/>
      <c r="H15" s="512"/>
      <c r="I15" s="512"/>
    </row>
    <row r="16" spans="1:9" ht="26.4" customHeight="1" x14ac:dyDescent="0.45">
      <c r="B16" s="513" t="s">
        <v>402</v>
      </c>
      <c r="C16" s="514"/>
      <c r="D16" s="515" t="str">
        <f>実績入力フォーム!B9&amp;""</f>
        <v>副会長</v>
      </c>
      <c r="E16" s="515"/>
      <c r="F16" s="516"/>
      <c r="G16" s="291" t="s">
        <v>401</v>
      </c>
      <c r="H16" s="399" t="str">
        <f>実績入力フォーム!B10&amp;""</f>
        <v>新宿　花子</v>
      </c>
      <c r="I16" s="400"/>
    </row>
    <row r="17" spans="1:9" ht="12.6" customHeight="1" x14ac:dyDescent="0.45">
      <c r="B17" s="517" t="s">
        <v>408</v>
      </c>
      <c r="C17" s="421"/>
      <c r="D17" s="520" t="str">
        <f>IF(実績入力フォーム!B11="","〒",実績入力フォーム!B11)</f>
        <v>〒111-0002</v>
      </c>
      <c r="E17" s="520"/>
      <c r="F17" s="521"/>
      <c r="G17" s="421" t="s">
        <v>445</v>
      </c>
      <c r="H17" s="522" t="str">
        <f>IF(AND(実績入力フォーム!B13&lt;&gt;"",実績入力フォーム!B14&lt;&gt;""),"①"&amp;実績入力フォーム!B13&amp;"/②"&amp;実績入力フォーム!B14,IF(AND(実績入力フォーム!B13&lt;&gt;"",実績入力フォーム!B14=""),"①"&amp;実績入力フォーム!B13,IF(AND(実績入力フォーム!B13="",実績入力フォーム!B14&lt;&gt;""),"②"&amp;実績入力フォーム!B14,"①　　　　　         　　　　　　　　　②")))</f>
        <v>①03-5321-YYYY/②090-1234-ZZZZ</v>
      </c>
      <c r="I17" s="523"/>
    </row>
    <row r="18" spans="1:9" ht="22.2" customHeight="1" x14ac:dyDescent="0.45">
      <c r="B18" s="518"/>
      <c r="C18" s="519"/>
      <c r="D18" s="512" t="str">
        <f>実績入力フォーム!B12&amp;""</f>
        <v>○○区△△３－２－１４</v>
      </c>
      <c r="E18" s="512"/>
      <c r="F18" s="524"/>
      <c r="G18" s="420"/>
      <c r="H18" s="512"/>
      <c r="I18" s="524"/>
    </row>
    <row r="19" spans="1:9" ht="22.8" customHeight="1" x14ac:dyDescent="0.45">
      <c r="B19" s="527" t="s">
        <v>414</v>
      </c>
      <c r="C19" s="528"/>
      <c r="D19" s="529" t="str">
        <f>実績入力フォーム!B15&amp;""</f>
        <v>03-5321-ZZZZ</v>
      </c>
      <c r="E19" s="529"/>
      <c r="F19" s="530"/>
      <c r="G19" s="331" t="s">
        <v>403</v>
      </c>
      <c r="H19" s="531" t="str">
        <f>実績入力フォーム!B16&amp;""</f>
        <v>hanako-s@toooo.xxxx.jp</v>
      </c>
      <c r="I19" s="532"/>
    </row>
    <row r="20" spans="1:9" ht="13.2" customHeight="1" x14ac:dyDescent="0.45">
      <c r="F20" s="533" t="s">
        <v>18</v>
      </c>
      <c r="G20" s="533"/>
      <c r="H20" s="533"/>
      <c r="I20" s="533"/>
    </row>
    <row r="22" spans="1:9" ht="14.4" x14ac:dyDescent="0.45">
      <c r="A22" s="13" t="s">
        <v>499</v>
      </c>
      <c r="B22" s="13"/>
      <c r="C22" s="13"/>
      <c r="D22" s="13"/>
      <c r="E22" s="13"/>
      <c r="F22" s="14"/>
      <c r="G22" s="14"/>
      <c r="H22" s="14"/>
      <c r="I22" s="14"/>
    </row>
    <row r="24" spans="1:9" ht="14.4" x14ac:dyDescent="0.45">
      <c r="A24" s="534" t="str">
        <f>IF(実績入力フォーム!B17="","令和　　年　　月　　日付けで交付決定を受けた事業が完了したので、令和７年度地域の底力発展",DBCS(TEXT(実績入力フォーム!B17,"ggge年m月d日"))&amp;"付けで交付決定を受けた事業が完了したので、令和７年度地域の底力発展")</f>
        <v>令和７年１０月９日付けで交付決定を受けた事業が完了したので、令和７年度地域の底力発展</v>
      </c>
      <c r="B24" s="534"/>
      <c r="C24" s="534"/>
      <c r="D24" s="534"/>
      <c r="E24" s="534"/>
      <c r="F24" s="534"/>
      <c r="G24" s="534"/>
      <c r="H24" s="534"/>
      <c r="I24" s="534"/>
    </row>
    <row r="25" spans="1:9" ht="14.4" x14ac:dyDescent="0.45">
      <c r="A25" s="72" t="s">
        <v>510</v>
      </c>
    </row>
    <row r="28" spans="1:9" ht="14.4" x14ac:dyDescent="0.45">
      <c r="A28" s="13" t="s">
        <v>4</v>
      </c>
      <c r="B28" s="14"/>
      <c r="C28" s="14"/>
      <c r="D28" s="14"/>
      <c r="E28" s="14"/>
      <c r="F28" s="13"/>
      <c r="G28" s="14"/>
      <c r="H28" s="14"/>
      <c r="I28" s="14"/>
    </row>
    <row r="29" spans="1:9" ht="14.4" x14ac:dyDescent="0.45">
      <c r="A29" s="72"/>
      <c r="B29" s="72"/>
      <c r="C29" s="72"/>
      <c r="D29" s="72"/>
      <c r="E29" s="72"/>
      <c r="F29" s="72"/>
      <c r="G29" s="72"/>
      <c r="H29" s="72"/>
      <c r="I29" s="72"/>
    </row>
    <row r="30" spans="1:9" ht="14.4" x14ac:dyDescent="0.45">
      <c r="A30" s="301" t="s">
        <v>6</v>
      </c>
      <c r="B30" s="279" t="s">
        <v>500</v>
      </c>
      <c r="C30" s="279"/>
      <c r="D30" s="279"/>
      <c r="E30" s="279"/>
      <c r="F30" s="72"/>
      <c r="G30" s="72"/>
      <c r="H30" s="72"/>
      <c r="I30" s="72"/>
    </row>
    <row r="31" spans="1:9" ht="24.6" customHeight="1" x14ac:dyDescent="0.45">
      <c r="A31" s="301"/>
      <c r="B31" s="526" t="str">
        <f>IF(概算払請求入力フォーム!B20="","金　　　　　　　　　　　　円","金"&amp;DBCS(TEXT(実績入力フォーム!B296,"#,##0"))&amp;"円")</f>
        <v>金　　　　　　　　　　　　円</v>
      </c>
      <c r="C31" s="526"/>
      <c r="D31" s="526"/>
      <c r="E31" s="526"/>
      <c r="F31" s="72"/>
      <c r="G31" s="72"/>
      <c r="H31" s="72"/>
      <c r="I31" s="72"/>
    </row>
    <row r="32" spans="1:9" ht="13.2" customHeight="1" x14ac:dyDescent="0.45">
      <c r="A32" s="72"/>
      <c r="B32" s="72"/>
      <c r="C32" s="72"/>
      <c r="D32" s="72"/>
      <c r="E32" s="72"/>
      <c r="F32" s="72"/>
      <c r="G32" s="72"/>
      <c r="H32" s="72"/>
      <c r="I32" s="72"/>
    </row>
    <row r="33" spans="1:9" ht="14.4" x14ac:dyDescent="0.45">
      <c r="A33" s="301" t="s">
        <v>7</v>
      </c>
      <c r="B33" s="279" t="s">
        <v>501</v>
      </c>
      <c r="C33" s="279"/>
      <c r="D33" s="279"/>
      <c r="E33" s="279"/>
      <c r="F33" s="303"/>
      <c r="G33" s="72"/>
      <c r="H33" s="72"/>
      <c r="I33" s="72"/>
    </row>
    <row r="34" spans="1:9" ht="24.6" customHeight="1" x14ac:dyDescent="0.45">
      <c r="A34" s="72"/>
      <c r="B34" s="526" t="str">
        <f>IF(概算払請求入力フォーム!B20="","金　　　　　　　　　　　　円","金"&amp;DBCS(TEXT(概算払請求入力フォーム!B20,"#,##0"))&amp;"円")</f>
        <v>金　　　　　　　　　　　　円</v>
      </c>
      <c r="C34" s="526"/>
      <c r="D34" s="526"/>
      <c r="E34" s="526"/>
      <c r="F34" s="72"/>
      <c r="G34" s="72"/>
      <c r="H34" s="72"/>
      <c r="I34" s="295"/>
    </row>
    <row r="35" spans="1:9" ht="13.2" customHeight="1" x14ac:dyDescent="0.45">
      <c r="A35" s="72"/>
      <c r="B35" s="72"/>
      <c r="C35" s="72"/>
      <c r="D35" s="72"/>
      <c r="E35" s="72"/>
      <c r="F35" s="72"/>
      <c r="G35" s="72"/>
      <c r="H35" s="72"/>
      <c r="I35" s="72"/>
    </row>
    <row r="36" spans="1:9" ht="14.4" x14ac:dyDescent="0.45">
      <c r="A36" s="301" t="s">
        <v>8</v>
      </c>
      <c r="B36" s="279" t="s">
        <v>502</v>
      </c>
      <c r="C36" s="279"/>
      <c r="D36" s="279"/>
      <c r="E36" s="279"/>
      <c r="F36" s="317"/>
      <c r="G36" s="72"/>
      <c r="H36" s="72"/>
      <c r="I36" s="72"/>
    </row>
    <row r="37" spans="1:9" ht="24.6" customHeight="1" x14ac:dyDescent="0.45">
      <c r="A37" s="301"/>
      <c r="B37" s="526" t="str">
        <f>IF(概算払請求入力フォーム!B20="","金　　　　　　　　　　　　円",IF(実績入力フォーム!B296-概算払請求入力フォーム!B20&lt;0,"金△"&amp;DBCS(TEXT(ABS(実績入力フォーム!B296-概算払請求入力フォーム!B20),"#,##0"))&amp;"円","金"&amp;DBCS(TEXT(実績入力フォーム!B296-概算払請求入力フォーム!B20,"#,##0"))&amp;"円"))</f>
        <v>金　　　　　　　　　　　　円</v>
      </c>
      <c r="C37" s="526"/>
      <c r="D37" s="526"/>
      <c r="E37" s="526"/>
      <c r="F37" s="355"/>
      <c r="G37" s="355"/>
      <c r="H37" s="355"/>
      <c r="I37" s="355"/>
    </row>
    <row r="38" spans="1:9" ht="13.2" customHeight="1" x14ac:dyDescent="0.45">
      <c r="A38" s="72"/>
      <c r="B38" s="72"/>
      <c r="C38" s="72"/>
      <c r="D38" s="72"/>
      <c r="E38" s="72"/>
      <c r="F38" s="72"/>
      <c r="G38" s="72"/>
      <c r="H38" s="72"/>
      <c r="I38" s="72"/>
    </row>
    <row r="39" spans="1:9" ht="14.4" x14ac:dyDescent="0.45">
      <c r="A39" s="301"/>
      <c r="B39" s="72"/>
      <c r="C39" s="279"/>
      <c r="D39" s="279"/>
      <c r="E39" s="279"/>
      <c r="F39" s="295"/>
      <c r="G39" s="72"/>
      <c r="H39" s="72"/>
      <c r="I39" s="72"/>
    </row>
    <row r="40" spans="1:9" ht="14.4" x14ac:dyDescent="0.45">
      <c r="A40" s="72"/>
      <c r="B40" s="72"/>
      <c r="C40" s="72"/>
      <c r="D40" s="72"/>
      <c r="E40" s="72"/>
      <c r="F40" s="72"/>
      <c r="G40" s="72"/>
      <c r="H40" s="72"/>
      <c r="I40" s="72"/>
    </row>
    <row r="43" spans="1:9" x14ac:dyDescent="0.45">
      <c r="A43" s="20"/>
      <c r="B43" s="21"/>
      <c r="C43" s="21"/>
      <c r="D43" s="21"/>
      <c r="E43" s="21"/>
    </row>
    <row r="44" spans="1:9" x14ac:dyDescent="0.45">
      <c r="F44" s="161"/>
    </row>
    <row r="45" spans="1:9" x14ac:dyDescent="0.45">
      <c r="F45" s="161"/>
    </row>
    <row r="46" spans="1:9" x14ac:dyDescent="0.45">
      <c r="B46" s="15"/>
      <c r="C46" s="15"/>
      <c r="D46" s="15"/>
      <c r="E46" s="15"/>
    </row>
  </sheetData>
  <sheetProtection sheet="1" objects="1" scenarios="1"/>
  <dataConsolidate/>
  <mergeCells count="24">
    <mergeCell ref="B31:E31"/>
    <mergeCell ref="B34:E34"/>
    <mergeCell ref="B37:E37"/>
    <mergeCell ref="B19:C19"/>
    <mergeCell ref="D19:F19"/>
    <mergeCell ref="H19:I19"/>
    <mergeCell ref="F20:I20"/>
    <mergeCell ref="A24:I24"/>
    <mergeCell ref="B15:I15"/>
    <mergeCell ref="B16:C16"/>
    <mergeCell ref="D16:F16"/>
    <mergeCell ref="H16:I16"/>
    <mergeCell ref="B17:C18"/>
    <mergeCell ref="D17:F17"/>
    <mergeCell ref="G17:G18"/>
    <mergeCell ref="H17:I18"/>
    <mergeCell ref="D18:F18"/>
    <mergeCell ref="H12:I13"/>
    <mergeCell ref="D13:F13"/>
    <mergeCell ref="B11:C11"/>
    <mergeCell ref="D11:F11"/>
    <mergeCell ref="B12:C13"/>
    <mergeCell ref="D12:F12"/>
    <mergeCell ref="G12:G13"/>
  </mergeCells>
  <phoneticPr fontId="1"/>
  <pageMargins left="0.51181102362204722" right="0.51181102362204722" top="0.39370078740157483" bottom="0.39370078740157483" header="0.31496062992125984" footer="0.31496062992125984"/>
  <pageSetup paperSize="9" scale="95" orientation="portrait"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05"/>
  <sheetViews>
    <sheetView zoomScaleNormal="100" workbookViewId="0">
      <selection activeCell="B2" sqref="B2"/>
    </sheetView>
  </sheetViews>
  <sheetFormatPr defaultRowHeight="18" x14ac:dyDescent="0.45"/>
  <cols>
    <col min="1" max="1" width="50" customWidth="1"/>
    <col min="2" max="2" width="52.8984375" customWidth="1"/>
    <col min="3" max="3" width="58.69921875" customWidth="1"/>
    <col min="4" max="4" width="0" hidden="1" customWidth="1"/>
    <col min="5" max="5" width="53.3984375" hidden="1" customWidth="1"/>
    <col min="6" max="7" width="29.796875" hidden="1" customWidth="1"/>
    <col min="8" max="8" width="53.3984375" hidden="1" customWidth="1"/>
    <col min="9" max="10" width="29.796875" hidden="1" customWidth="1"/>
    <col min="11" max="11" width="0" hidden="1" customWidth="1"/>
  </cols>
  <sheetData>
    <row r="2" spans="1:10" x14ac:dyDescent="0.45">
      <c r="A2" s="16" t="s">
        <v>3</v>
      </c>
      <c r="B2" s="366" t="s">
        <v>607</v>
      </c>
      <c r="C2" t="s">
        <v>106</v>
      </c>
    </row>
    <row r="3" spans="1:10" x14ac:dyDescent="0.45">
      <c r="A3" s="16" t="s">
        <v>183</v>
      </c>
      <c r="B3" s="366" t="s">
        <v>608</v>
      </c>
      <c r="C3" t="s">
        <v>98</v>
      </c>
      <c r="F3" s="59">
        <v>200000</v>
      </c>
      <c r="G3" s="59">
        <v>300000</v>
      </c>
      <c r="H3" s="59">
        <v>500000</v>
      </c>
      <c r="I3" s="59">
        <v>1000000</v>
      </c>
      <c r="J3" s="59">
        <v>2000000</v>
      </c>
    </row>
    <row r="4" spans="1:10" x14ac:dyDescent="0.45">
      <c r="A4" s="16" t="s">
        <v>535</v>
      </c>
      <c r="B4" s="367">
        <v>1110001</v>
      </c>
      <c r="C4" s="356" t="s">
        <v>564</v>
      </c>
      <c r="F4" s="59"/>
      <c r="G4" s="59"/>
      <c r="H4" s="59"/>
      <c r="I4" s="59"/>
      <c r="J4" s="59"/>
    </row>
    <row r="5" spans="1:10" x14ac:dyDescent="0.45">
      <c r="A5" s="16" t="s">
        <v>310</v>
      </c>
      <c r="B5" s="366" t="s">
        <v>609</v>
      </c>
      <c r="C5" t="s">
        <v>107</v>
      </c>
    </row>
    <row r="6" spans="1:10" x14ac:dyDescent="0.45">
      <c r="A6" s="16" t="s">
        <v>89</v>
      </c>
      <c r="B6" s="366" t="s">
        <v>610</v>
      </c>
    </row>
    <row r="7" spans="1:10" x14ac:dyDescent="0.45">
      <c r="A7" s="16" t="s">
        <v>90</v>
      </c>
      <c r="B7" s="366" t="s">
        <v>611</v>
      </c>
    </row>
    <row r="8" spans="1:10" x14ac:dyDescent="0.45">
      <c r="A8" s="16" t="s">
        <v>536</v>
      </c>
      <c r="B8" s="366" t="s">
        <v>612</v>
      </c>
      <c r="C8" s="356" t="s">
        <v>543</v>
      </c>
    </row>
    <row r="9" spans="1:10" x14ac:dyDescent="0.45">
      <c r="A9" s="16" t="s">
        <v>100</v>
      </c>
      <c r="B9" s="366" t="s">
        <v>613</v>
      </c>
      <c r="C9" t="s">
        <v>105</v>
      </c>
    </row>
    <row r="10" spans="1:10" x14ac:dyDescent="0.45">
      <c r="A10" s="16" t="s">
        <v>91</v>
      </c>
      <c r="B10" s="366" t="s">
        <v>614</v>
      </c>
    </row>
    <row r="11" spans="1:10" x14ac:dyDescent="0.45">
      <c r="A11" s="16" t="s">
        <v>537</v>
      </c>
      <c r="B11" s="367">
        <v>1110002</v>
      </c>
      <c r="C11" s="356" t="s">
        <v>564</v>
      </c>
    </row>
    <row r="12" spans="1:10" x14ac:dyDescent="0.45">
      <c r="A12" s="16" t="s">
        <v>311</v>
      </c>
      <c r="B12" s="366" t="s">
        <v>628</v>
      </c>
    </row>
    <row r="13" spans="1:10" x14ac:dyDescent="0.45">
      <c r="A13" s="16" t="s">
        <v>538</v>
      </c>
      <c r="B13" s="366" t="s">
        <v>615</v>
      </c>
      <c r="C13" s="356" t="s">
        <v>543</v>
      </c>
    </row>
    <row r="14" spans="1:10" x14ac:dyDescent="0.45">
      <c r="A14" s="16" t="s">
        <v>539</v>
      </c>
      <c r="B14" s="366" t="s">
        <v>616</v>
      </c>
      <c r="C14" s="356" t="s">
        <v>543</v>
      </c>
    </row>
    <row r="15" spans="1:10" x14ac:dyDescent="0.45">
      <c r="A15" s="16" t="s">
        <v>540</v>
      </c>
      <c r="B15" s="366" t="s">
        <v>617</v>
      </c>
    </row>
    <row r="16" spans="1:10" x14ac:dyDescent="0.45">
      <c r="A16" s="16" t="s">
        <v>541</v>
      </c>
      <c r="B16" s="368" t="s">
        <v>618</v>
      </c>
      <c r="C16" s="356" t="s">
        <v>563</v>
      </c>
    </row>
    <row r="17" spans="1:3" x14ac:dyDescent="0.45">
      <c r="A17" s="16" t="s">
        <v>427</v>
      </c>
      <c r="B17" s="259" t="s">
        <v>96</v>
      </c>
    </row>
    <row r="18" spans="1:3" ht="56.4" customHeight="1" x14ac:dyDescent="0.45">
      <c r="A18" s="345" t="str">
        <f>IF(B2="", "①助成対象経費として申請する全ての経費は、申請団体が主催する事業のために直接必要になるものである","①助成対象経費として申請する全ての経費は、"&amp;B2&amp;"が主催する事業のために直接必要になるものである")</f>
        <v>①助成対象経費として申請する全ての経費は、東京一丁目町会が主催する事業のために直接必要になるものである</v>
      </c>
      <c r="B18" s="366" t="s">
        <v>619</v>
      </c>
      <c r="C18" t="s">
        <v>439</v>
      </c>
    </row>
    <row r="19" spans="1:3" ht="36" x14ac:dyDescent="0.45">
      <c r="A19" s="345" t="s">
        <v>428</v>
      </c>
      <c r="B19" s="366" t="s">
        <v>619</v>
      </c>
      <c r="C19" t="s">
        <v>439</v>
      </c>
    </row>
    <row r="20" spans="1:3" ht="55.2" customHeight="1" x14ac:dyDescent="0.45">
      <c r="A20" s="345" t="s">
        <v>442</v>
      </c>
      <c r="B20" s="259" t="s">
        <v>96</v>
      </c>
    </row>
    <row r="21" spans="1:3" x14ac:dyDescent="0.45">
      <c r="A21" s="346" t="s">
        <v>429</v>
      </c>
      <c r="B21" s="369" t="s">
        <v>620</v>
      </c>
      <c r="C21" t="s">
        <v>438</v>
      </c>
    </row>
    <row r="22" spans="1:3" x14ac:dyDescent="0.45">
      <c r="A22" s="346" t="s">
        <v>430</v>
      </c>
      <c r="B22" s="369" t="s">
        <v>620</v>
      </c>
      <c r="C22" t="s">
        <v>438</v>
      </c>
    </row>
    <row r="23" spans="1:3" x14ac:dyDescent="0.45">
      <c r="A23" s="346" t="s">
        <v>431</v>
      </c>
      <c r="B23" s="369" t="s">
        <v>620</v>
      </c>
      <c r="C23" t="s">
        <v>438</v>
      </c>
    </row>
    <row r="24" spans="1:3" x14ac:dyDescent="0.45">
      <c r="A24" s="346" t="s">
        <v>432</v>
      </c>
      <c r="B24" s="369" t="s">
        <v>620</v>
      </c>
      <c r="C24" t="s">
        <v>438</v>
      </c>
    </row>
    <row r="25" spans="1:3" x14ac:dyDescent="0.45">
      <c r="A25" s="346" t="s">
        <v>433</v>
      </c>
      <c r="B25" s="369" t="s">
        <v>620</v>
      </c>
      <c r="C25" t="s">
        <v>438</v>
      </c>
    </row>
    <row r="26" spans="1:3" x14ac:dyDescent="0.45">
      <c r="A26" s="346" t="s">
        <v>434</v>
      </c>
      <c r="B26" s="369" t="s">
        <v>620</v>
      </c>
      <c r="C26" t="s">
        <v>438</v>
      </c>
    </row>
    <row r="27" spans="1:3" x14ac:dyDescent="0.45">
      <c r="A27" s="346" t="s">
        <v>653</v>
      </c>
      <c r="B27" s="369" t="s">
        <v>620</v>
      </c>
      <c r="C27" t="s">
        <v>438</v>
      </c>
    </row>
    <row r="28" spans="1:3" x14ac:dyDescent="0.45">
      <c r="A28" s="346" t="s">
        <v>435</v>
      </c>
      <c r="B28" s="369" t="s">
        <v>620</v>
      </c>
      <c r="C28" t="s">
        <v>438</v>
      </c>
    </row>
    <row r="29" spans="1:3" x14ac:dyDescent="0.45">
      <c r="A29" s="346" t="s">
        <v>436</v>
      </c>
      <c r="B29" s="369" t="s">
        <v>620</v>
      </c>
      <c r="C29" t="s">
        <v>438</v>
      </c>
    </row>
    <row r="30" spans="1:3" ht="36" x14ac:dyDescent="0.45">
      <c r="A30" s="346" t="s">
        <v>437</v>
      </c>
      <c r="B30" s="369" t="s">
        <v>620</v>
      </c>
      <c r="C30" t="s">
        <v>438</v>
      </c>
    </row>
    <row r="31" spans="1:3" x14ac:dyDescent="0.45">
      <c r="A31" s="346" t="s">
        <v>440</v>
      </c>
      <c r="B31" s="369" t="s">
        <v>620</v>
      </c>
      <c r="C31" t="s">
        <v>438</v>
      </c>
    </row>
    <row r="32" spans="1:3" ht="36" x14ac:dyDescent="0.45">
      <c r="A32" s="346" t="s">
        <v>441</v>
      </c>
      <c r="B32" s="369" t="s">
        <v>620</v>
      </c>
      <c r="C32" t="s">
        <v>438</v>
      </c>
    </row>
    <row r="33" spans="1:11" x14ac:dyDescent="0.45">
      <c r="A33" s="346" t="s">
        <v>472</v>
      </c>
      <c r="B33" s="369" t="s">
        <v>620</v>
      </c>
      <c r="C33" t="s">
        <v>438</v>
      </c>
    </row>
    <row r="34" spans="1:11" x14ac:dyDescent="0.45">
      <c r="A34" s="346" t="s">
        <v>473</v>
      </c>
      <c r="B34" s="369" t="s">
        <v>620</v>
      </c>
      <c r="C34" t="s">
        <v>438</v>
      </c>
    </row>
    <row r="35" spans="1:11" ht="52.8" x14ac:dyDescent="0.45">
      <c r="A35" s="360" t="s">
        <v>92</v>
      </c>
      <c r="B35" s="370" t="s">
        <v>621</v>
      </c>
      <c r="C35" t="s">
        <v>98</v>
      </c>
      <c r="K35" t="s">
        <v>478</v>
      </c>
    </row>
    <row r="36" spans="1:11" ht="79.2" x14ac:dyDescent="0.45">
      <c r="A36" s="360" t="s">
        <v>486</v>
      </c>
      <c r="B36" s="371" t="s">
        <v>635</v>
      </c>
      <c r="C36" t="s">
        <v>98</v>
      </c>
      <c r="D36" t="str">
        <f>LEFT(B36,1)</f>
        <v>Ｂ</v>
      </c>
      <c r="E36" t="str">
        <f>IF(OR(D36="Ｃ",D36="Ｄ"),D36,"")&amp;IF(OR(D36="Ｃ",D36="Ｄ"),_xlfn.TEXTAFTER(B36,"取組"),"")</f>
        <v/>
      </c>
      <c r="F36" t="str">
        <f>IF(D36="Ｂ",LEFT(B36,3))</f>
        <v>Ｂ－Ｓ</v>
      </c>
      <c r="K36" t="s">
        <v>325</v>
      </c>
    </row>
    <row r="37" spans="1:11" ht="26.4" x14ac:dyDescent="0.45">
      <c r="A37" s="361" t="str">
        <f>IF(B35="ない", "助成率は10/10です",IF(B36="","↓",IF(OR(F36="Ｂ－１",F36="Ｂ－３",F36="Ｂ－Ｓ",E36="Ｃ（防災、見守り、デジタル）",E36="Ｄ（防災、見守り、デジタル）"), "助成率は10/10です", IF(D36="Ａ","↓","今回申請する区分は初めてですか"))))</f>
        <v>助成率は10/10です</v>
      </c>
      <c r="B37" s="372"/>
      <c r="C37" t="s">
        <v>542</v>
      </c>
      <c r="J37" s="17"/>
      <c r="K37" t="s">
        <v>326</v>
      </c>
    </row>
    <row r="38" spans="1:11" ht="83.4" customHeight="1" x14ac:dyDescent="0.45">
      <c r="A38" s="360" t="str">
        <f>IF(AND(B35="ある",D36="Ａ"),"「地域防災力の強化」かつ「多文化共生社会づくり」につながる活動を行いますか",IF(B37="","↓",IF(AND(D36&lt;&gt;"Ａ",B37="初めて（Ｃ区分・Ｄ区分の場合は取組内容を問わずその区分自体が初めての場合を指す）"), "助成率は10/10です","「地域防災力の強化」かつ「多文化共生社会づくり」につながる活動を行いますか")))</f>
        <v>↓</v>
      </c>
      <c r="B38" s="373"/>
      <c r="C38" t="s">
        <v>542</v>
      </c>
      <c r="K38" t="s">
        <v>327</v>
      </c>
    </row>
    <row r="39" spans="1:11" ht="26.4" x14ac:dyDescent="0.45">
      <c r="A39" s="361" t="str">
        <f>IF(B38="実施する","助成率は10/10です",IF(B38="実施しない","助成率は1/2です","↓"))</f>
        <v>↓</v>
      </c>
      <c r="B39" s="362" t="s">
        <v>96</v>
      </c>
      <c r="K39" t="s">
        <v>328</v>
      </c>
    </row>
    <row r="40" spans="1:11" ht="26.4" x14ac:dyDescent="0.45">
      <c r="A40" s="363" t="s">
        <v>268</v>
      </c>
      <c r="B40" s="364" t="str">
        <f>IF(A37="助成率は10/10です","10/10",IF(A38="助成率は10/10です","10/10",IF(A39="助成率は10/10です","10/10",IF(A39="助成率は1/2です","１／２",""))))</f>
        <v>10/10</v>
      </c>
      <c r="D40">
        <f>IF(B40="10/10",1,IF(B40="１／２",0.5,""))</f>
        <v>1</v>
      </c>
      <c r="K40" t="s">
        <v>329</v>
      </c>
    </row>
    <row r="41" spans="1:11" ht="36" x14ac:dyDescent="0.45">
      <c r="A41" s="119" t="s">
        <v>509</v>
      </c>
      <c r="B41" s="366" t="s">
        <v>629</v>
      </c>
      <c r="C41" t="s">
        <v>98</v>
      </c>
      <c r="K41" t="s">
        <v>330</v>
      </c>
    </row>
    <row r="42" spans="1:11" x14ac:dyDescent="0.45">
      <c r="A42" t="s">
        <v>559</v>
      </c>
      <c r="B42" s="374">
        <v>300</v>
      </c>
      <c r="K42" t="s">
        <v>479</v>
      </c>
    </row>
    <row r="43" spans="1:11" x14ac:dyDescent="0.45">
      <c r="A43" t="s">
        <v>94</v>
      </c>
      <c r="B43" s="366" t="s">
        <v>622</v>
      </c>
      <c r="C43" t="s">
        <v>98</v>
      </c>
      <c r="E43" t="str">
        <f>IF(B44="", "", "（"&amp;B43&amp;B44&amp;"）")</f>
        <v>（令和６年３月末現在）</v>
      </c>
      <c r="K43" t="s">
        <v>480</v>
      </c>
    </row>
    <row r="44" spans="1:11" x14ac:dyDescent="0.45">
      <c r="A44" t="s">
        <v>95</v>
      </c>
      <c r="B44" s="366" t="s">
        <v>623</v>
      </c>
      <c r="C44" t="s">
        <v>98</v>
      </c>
      <c r="K44" t="s">
        <v>481</v>
      </c>
    </row>
    <row r="45" spans="1:11" x14ac:dyDescent="0.45">
      <c r="A45" s="119" t="str">
        <f>IF(B3="","↓",IF(OR(B3="都町連",B3="町自連",B3="地区連"),"構成団体数（地区連、町自連など連合で申請の場合のみ記入）（数字のみ記入）","↓"))</f>
        <v>↓</v>
      </c>
      <c r="B45" s="374"/>
      <c r="K45" t="s">
        <v>482</v>
      </c>
    </row>
    <row r="46" spans="1:11" x14ac:dyDescent="0.45">
      <c r="A46" t="str">
        <f>IF(D36="Ｃ","共同実施団体・連携実施団体名１",IF(D36="Ｄ","共同実施団体・連携実施団体名１","↓"))</f>
        <v>↓</v>
      </c>
      <c r="B46" s="366"/>
    </row>
    <row r="47" spans="1:11" x14ac:dyDescent="0.45">
      <c r="A47" t="str">
        <f>IF(D36="Ｃ","共同実施団体・連携実施団体代表者役職１",IF(D36="Ｄ","共同実施団体・連携実施団体代表者役職１","↓"))</f>
        <v>↓</v>
      </c>
      <c r="B47" s="366"/>
    </row>
    <row r="48" spans="1:11" x14ac:dyDescent="0.45">
      <c r="A48" t="str">
        <f>IF(D36="Ｃ","共同実施団体・連携実施団体所在地等１",IF(D36="Ｄ","共同実施団体・連携実施団体所在地等１","↓"))</f>
        <v>↓</v>
      </c>
      <c r="B48" s="366"/>
    </row>
    <row r="49" spans="1:3" x14ac:dyDescent="0.45">
      <c r="A49" t="str">
        <f>IF(D36="Ｃ","共同実施団体・連携実施団体電話番号１　※ハイフンありで入力",IF(D36="Ｄ","共同実施団体・連携実施団体電話番号１　※ハイフンありで入力","↓"))</f>
        <v>↓</v>
      </c>
      <c r="B49" s="366"/>
    </row>
    <row r="50" spans="1:3" x14ac:dyDescent="0.45">
      <c r="A50" t="str">
        <f>IF(D36="Ｃ","共同実施団体・連携実施団体構成世帯数１（数字のみ記入）",IF(D36="Ｄ","共同実施団体・連携実施団体構成世帯数１（数字のみ記入）","↓"))</f>
        <v>↓</v>
      </c>
      <c r="B50" s="366"/>
    </row>
    <row r="51" spans="1:3" x14ac:dyDescent="0.45">
      <c r="A51" t="str">
        <f>IF(A46="↓","↓",IF(B46="","↓","共同実施団体・連携実施団体名２"))</f>
        <v>↓</v>
      </c>
      <c r="B51" s="366"/>
      <c r="C51" t="s">
        <v>123</v>
      </c>
    </row>
    <row r="52" spans="1:3" x14ac:dyDescent="0.45">
      <c r="A52" t="str">
        <f>IF(A46="↓","↓",IF(B46="","↓","共同実施団体・連携実施団体代表者役職２"))</f>
        <v>↓</v>
      </c>
      <c r="B52" s="366"/>
    </row>
    <row r="53" spans="1:3" x14ac:dyDescent="0.45">
      <c r="A53" t="str">
        <f>IF(A46="↓","↓",IF(B46="","↓","共同実施団体・連携実施団体所在地等２"))</f>
        <v>↓</v>
      </c>
      <c r="B53" s="366"/>
    </row>
    <row r="54" spans="1:3" x14ac:dyDescent="0.45">
      <c r="A54" t="str">
        <f>IF(A46="↓","↓",IF(B46="","↓","共同実施団体・連携実施団体電話番号２　※ハイフンありで入力"))</f>
        <v>↓</v>
      </c>
      <c r="B54" s="366"/>
      <c r="C54" s="356" t="s">
        <v>543</v>
      </c>
    </row>
    <row r="55" spans="1:3" x14ac:dyDescent="0.45">
      <c r="A55" t="str">
        <f>IF(A46="↓","↓",IF(B46="","↓","共同実施団体・連携実施団体構成世帯数２（数字のみ記入）"))</f>
        <v>↓</v>
      </c>
      <c r="B55" s="366"/>
    </row>
    <row r="56" spans="1:3" x14ac:dyDescent="0.45">
      <c r="A56" t="str">
        <f>IF(B51="","↓","共同実施団体・連携実施団体名３")</f>
        <v>↓</v>
      </c>
      <c r="B56" s="366"/>
      <c r="C56" t="s">
        <v>124</v>
      </c>
    </row>
    <row r="57" spans="1:3" x14ac:dyDescent="0.45">
      <c r="A57" t="str">
        <f>IF(B51="","↓","共同実施団体・連携実施団体代表者役職３")</f>
        <v>↓</v>
      </c>
      <c r="B57" s="366"/>
    </row>
    <row r="58" spans="1:3" x14ac:dyDescent="0.45">
      <c r="A58" t="str">
        <f>IF(B51="","↓","共同実施団体・連携実施団体所在地等３")</f>
        <v>↓</v>
      </c>
      <c r="B58" s="366"/>
    </row>
    <row r="59" spans="1:3" x14ac:dyDescent="0.45">
      <c r="A59" t="str">
        <f>IF(B51="","↓","共同実施団体・連携実施団体電話番号３　※ハイフンありで入力")</f>
        <v>↓</v>
      </c>
      <c r="B59" s="366"/>
      <c r="C59" s="356" t="s">
        <v>543</v>
      </c>
    </row>
    <row r="60" spans="1:3" x14ac:dyDescent="0.45">
      <c r="A60" t="str">
        <f>IF(B51="","↓","共同実施団体・連携実施団体構成世帯数３（数字のみ記入）")</f>
        <v>↓</v>
      </c>
      <c r="B60" s="366"/>
    </row>
    <row r="61" spans="1:3" x14ac:dyDescent="0.45">
      <c r="A61" t="str">
        <f>IF(B56="","↓","共同実施団体・連携実施団体名４")</f>
        <v>↓</v>
      </c>
      <c r="B61" s="366"/>
      <c r="C61" t="s">
        <v>125</v>
      </c>
    </row>
    <row r="62" spans="1:3" x14ac:dyDescent="0.45">
      <c r="A62" t="str">
        <f>IF(B56="","↓","共同実施団体・連携実施団体代表者役職４")</f>
        <v>↓</v>
      </c>
      <c r="B62" s="366"/>
    </row>
    <row r="63" spans="1:3" x14ac:dyDescent="0.45">
      <c r="A63" t="str">
        <f>IF(B56="","↓","共同実施団体・連携実施団体所在地等４")</f>
        <v>↓</v>
      </c>
      <c r="B63" s="366"/>
    </row>
    <row r="64" spans="1:3" x14ac:dyDescent="0.45">
      <c r="A64" t="str">
        <f>IF(B56="","↓","共同実施団体・連携実施団体電話番号４　※ハイフンありで入力")</f>
        <v>↓</v>
      </c>
      <c r="B64" s="366"/>
      <c r="C64" s="356" t="s">
        <v>543</v>
      </c>
    </row>
    <row r="65" spans="1:3" x14ac:dyDescent="0.45">
      <c r="A65" t="str">
        <f>IF(B56="","↓","共同実施団体・連携実施団体構成世帯数４（数字のみ記入）")</f>
        <v>↓</v>
      </c>
      <c r="B65" s="366"/>
    </row>
    <row r="66" spans="1:3" x14ac:dyDescent="0.45">
      <c r="A66" t="str">
        <f>IF(B61="","↓","共同実施団体・連携実施団体名５")</f>
        <v>↓</v>
      </c>
      <c r="B66" s="366"/>
      <c r="C66" t="s">
        <v>126</v>
      </c>
    </row>
    <row r="67" spans="1:3" x14ac:dyDescent="0.45">
      <c r="A67" t="str">
        <f>IF(B61="","↓","共同実施団体・連携実施団体代表者役職５")</f>
        <v>↓</v>
      </c>
      <c r="B67" s="366"/>
    </row>
    <row r="68" spans="1:3" x14ac:dyDescent="0.45">
      <c r="A68" t="str">
        <f>IF(B61="","↓","共同実施団体・連携実施団体所在地等５")</f>
        <v>↓</v>
      </c>
      <c r="B68" s="366"/>
    </row>
    <row r="69" spans="1:3" x14ac:dyDescent="0.45">
      <c r="A69" t="str">
        <f>IF(B61="","↓","共同実施団体・連携実施団体電話番号５　※ハイフンありで入力")</f>
        <v>↓</v>
      </c>
      <c r="B69" s="366"/>
      <c r="C69" s="356" t="s">
        <v>543</v>
      </c>
    </row>
    <row r="70" spans="1:3" x14ac:dyDescent="0.45">
      <c r="A70" t="str">
        <f>IF(B61="","↓","共同実施団体・連携実施団体構成世帯数５（数字のみ記入）")</f>
        <v>↓</v>
      </c>
      <c r="B70" s="366"/>
    </row>
    <row r="71" spans="1:3" x14ac:dyDescent="0.45">
      <c r="A71" t="str">
        <f>IF(B66="","↓","共同実施団体・連携実施団体名６")</f>
        <v>↓</v>
      </c>
      <c r="B71" s="366"/>
      <c r="C71" t="s">
        <v>127</v>
      </c>
    </row>
    <row r="72" spans="1:3" x14ac:dyDescent="0.45">
      <c r="A72" t="str">
        <f>IF(B66="","↓","共同実施団体・連携実施団体代表者役職６")</f>
        <v>↓</v>
      </c>
      <c r="B72" s="366"/>
    </row>
    <row r="73" spans="1:3" x14ac:dyDescent="0.45">
      <c r="A73" t="str">
        <f>IF(B66="","↓","共同実施団体・連携実施団体所在地等６")</f>
        <v>↓</v>
      </c>
      <c r="B73" s="366"/>
    </row>
    <row r="74" spans="1:3" x14ac:dyDescent="0.45">
      <c r="A74" t="str">
        <f>IF(B66="","↓","共同実施団体・連携実施団体電話番号６　※ハイフンありで入力")</f>
        <v>↓</v>
      </c>
      <c r="B74" s="366"/>
      <c r="C74" s="356" t="s">
        <v>543</v>
      </c>
    </row>
    <row r="75" spans="1:3" x14ac:dyDescent="0.45">
      <c r="A75" t="str">
        <f>IF(B66="","↓","共同実施団体・連携実施団体構成世帯数６（数字のみ記入）")</f>
        <v>↓</v>
      </c>
      <c r="B75" s="366"/>
    </row>
    <row r="76" spans="1:3" x14ac:dyDescent="0.45">
      <c r="A76" t="str">
        <f>IF(B71="","↓","共同実施団体・連携実施団体名７")</f>
        <v>↓</v>
      </c>
      <c r="B76" s="366"/>
      <c r="C76" t="s">
        <v>128</v>
      </c>
    </row>
    <row r="77" spans="1:3" x14ac:dyDescent="0.45">
      <c r="A77" t="str">
        <f>IF(B71="","↓","共同実施団体・連携実施団体代表者役職７")</f>
        <v>↓</v>
      </c>
      <c r="B77" s="366"/>
    </row>
    <row r="78" spans="1:3" x14ac:dyDescent="0.45">
      <c r="A78" t="str">
        <f>IF(B71="","↓","共同実施団体・連携実施団体所在地等７")</f>
        <v>↓</v>
      </c>
      <c r="B78" s="366"/>
    </row>
    <row r="79" spans="1:3" x14ac:dyDescent="0.45">
      <c r="A79" t="str">
        <f>IF(B71="","↓","共同実施団体・連携実施団体電話番号７　※ハイフンありで入力")</f>
        <v>↓</v>
      </c>
      <c r="B79" s="366"/>
      <c r="C79" s="356" t="s">
        <v>543</v>
      </c>
    </row>
    <row r="80" spans="1:3" x14ac:dyDescent="0.45">
      <c r="A80" t="str">
        <f>IF(B71="","↓","共同実施団体・連携実施団体構成世帯数７（数字のみ記入）")</f>
        <v>↓</v>
      </c>
      <c r="B80" s="366"/>
    </row>
    <row r="81" spans="1:3" x14ac:dyDescent="0.45">
      <c r="A81" t="str">
        <f>IF(OR(D36="Ｃ",D36="Ｄ"),"申請団体と共同実施団体・連携実施団体の役割","↓")</f>
        <v>↓</v>
      </c>
      <c r="B81" s="259" t="s">
        <v>96</v>
      </c>
    </row>
    <row r="82" spans="1:3" x14ac:dyDescent="0.45">
      <c r="A82" t="str">
        <f>IF(OR(D36="Ｃ",D36="Ｄ"),"申請団体の役割","↓")</f>
        <v>↓</v>
      </c>
      <c r="B82" s="259" t="s">
        <v>96</v>
      </c>
    </row>
    <row r="83" spans="1:3" x14ac:dyDescent="0.45">
      <c r="A83" s="354" t="str">
        <f>IF(OR(D36="Ｃ",D36="Ｄ"),"①企画、進行管理","↓")</f>
        <v>↓</v>
      </c>
      <c r="B83" s="366"/>
      <c r="C83" t="s">
        <v>471</v>
      </c>
    </row>
    <row r="84" spans="1:3" x14ac:dyDescent="0.45">
      <c r="A84" s="354" t="str">
        <f>IF(OR(D36="Ｃ",D36="Ｄ"),"②広報","↓")</f>
        <v>↓</v>
      </c>
      <c r="B84" s="366"/>
      <c r="C84" t="s">
        <v>471</v>
      </c>
    </row>
    <row r="85" spans="1:3" x14ac:dyDescent="0.45">
      <c r="A85" s="354" t="str">
        <f>IF(OR(D36="Ｃ",D36="Ｄ"),"③物品等調達・管理","↓")</f>
        <v>↓</v>
      </c>
      <c r="B85" s="366"/>
      <c r="C85" t="s">
        <v>471</v>
      </c>
    </row>
    <row r="86" spans="1:3" x14ac:dyDescent="0.45">
      <c r="A86" s="354" t="str">
        <f>IF(OR(D36="Ｃ",D36="Ｄ"),"④各種届出等連絡調整","↓")</f>
        <v>↓</v>
      </c>
      <c r="B86" s="366"/>
      <c r="C86" t="s">
        <v>471</v>
      </c>
    </row>
    <row r="87" spans="1:3" x14ac:dyDescent="0.45">
      <c r="A87" s="354" t="str">
        <f>IF(OR(D36="Ｃ",D36="Ｄ"),"⑤設営・警備等会場管理","↓")</f>
        <v>↓</v>
      </c>
      <c r="B87" s="366"/>
      <c r="C87" t="s">
        <v>471</v>
      </c>
    </row>
    <row r="88" spans="1:3" x14ac:dyDescent="0.45">
      <c r="A88" s="354" t="str">
        <f>IF(OR(D36="Ｃ",D36="Ｄ"),"⑥各コーナー等運営（受付・模擬店・訓練等）","↓")</f>
        <v>↓</v>
      </c>
      <c r="B88" s="366"/>
      <c r="C88" t="s">
        <v>471</v>
      </c>
    </row>
    <row r="89" spans="1:3" x14ac:dyDescent="0.45">
      <c r="A89" s="354" t="str">
        <f>IF(OR(D36="Ｃ",D36="Ｄ"),"⑦踊り等専門的な指導・実演","↓")</f>
        <v>↓</v>
      </c>
      <c r="B89" s="366"/>
      <c r="C89" t="s">
        <v>471</v>
      </c>
    </row>
    <row r="90" spans="1:3" x14ac:dyDescent="0.45">
      <c r="A90" t="str">
        <f>IF(OR(D36="Ｃ",D36="Ｄ"),"共同実施団体・連携実施団体１の役割","↓")</f>
        <v>↓</v>
      </c>
      <c r="B90" s="259" t="s">
        <v>96</v>
      </c>
    </row>
    <row r="91" spans="1:3" x14ac:dyDescent="0.45">
      <c r="A91" s="354" t="str">
        <f>IF(OR(D36="Ｃ",D36="Ｄ"),"①企画、進行管理","↓")</f>
        <v>↓</v>
      </c>
      <c r="B91" s="366"/>
      <c r="C91" t="s">
        <v>471</v>
      </c>
    </row>
    <row r="92" spans="1:3" x14ac:dyDescent="0.45">
      <c r="A92" s="354" t="str">
        <f>IF(OR(D36="Ｃ",D36="Ｄ"),"②広報","↓")</f>
        <v>↓</v>
      </c>
      <c r="B92" s="366"/>
      <c r="C92" t="s">
        <v>471</v>
      </c>
    </row>
    <row r="93" spans="1:3" x14ac:dyDescent="0.45">
      <c r="A93" s="354" t="str">
        <f>IF(OR(D36="Ｃ",D36="Ｄ"),"③物品等調達・管理","↓")</f>
        <v>↓</v>
      </c>
      <c r="B93" s="366"/>
      <c r="C93" t="s">
        <v>471</v>
      </c>
    </row>
    <row r="94" spans="1:3" x14ac:dyDescent="0.45">
      <c r="A94" s="354" t="str">
        <f>IF(OR(D36="Ｃ",D36="Ｄ"),"④各種届出等連絡調整","↓")</f>
        <v>↓</v>
      </c>
      <c r="B94" s="366"/>
      <c r="C94" t="s">
        <v>471</v>
      </c>
    </row>
    <row r="95" spans="1:3" x14ac:dyDescent="0.45">
      <c r="A95" s="354" t="str">
        <f>IF(OR(D36="Ｃ",D36="Ｄ"),"⑤設営・警備等会場管理","↓")</f>
        <v>↓</v>
      </c>
      <c r="B95" s="366"/>
      <c r="C95" t="s">
        <v>471</v>
      </c>
    </row>
    <row r="96" spans="1:3" x14ac:dyDescent="0.45">
      <c r="A96" s="354" t="str">
        <f>IF(OR(D36="Ｃ",D36="Ｄ"),"⑥各コーナー等運営（受付・模擬店・訓練等）","↓")</f>
        <v>↓</v>
      </c>
      <c r="B96" s="366"/>
      <c r="C96" t="s">
        <v>471</v>
      </c>
    </row>
    <row r="97" spans="1:3" x14ac:dyDescent="0.45">
      <c r="A97" s="354" t="str">
        <f>IF(OR(D36="Ｃ",D36="Ｄ"),"⑦踊り等専門的な指導・実演","↓")</f>
        <v>↓</v>
      </c>
      <c r="B97" s="366"/>
      <c r="C97" t="s">
        <v>471</v>
      </c>
    </row>
    <row r="98" spans="1:3" x14ac:dyDescent="0.45">
      <c r="A98" t="str">
        <f>IF(A51="↓","↓",IF(B51&lt;&gt;"","共同実施団体・連携実施団体２の役割","↓"))</f>
        <v>↓</v>
      </c>
      <c r="B98" s="259" t="s">
        <v>96</v>
      </c>
    </row>
    <row r="99" spans="1:3" x14ac:dyDescent="0.45">
      <c r="A99" s="354" t="str">
        <f>IF(A51="↓","↓",IF(B51&lt;&gt;"","①企画、進行管理","↓"))</f>
        <v>↓</v>
      </c>
      <c r="B99" s="366"/>
      <c r="C99" t="s">
        <v>471</v>
      </c>
    </row>
    <row r="100" spans="1:3" x14ac:dyDescent="0.45">
      <c r="A100" s="354" t="str">
        <f>IF(A51="↓","↓",IF(B51&lt;&gt;"","②広報","↓"))</f>
        <v>↓</v>
      </c>
      <c r="B100" s="366"/>
      <c r="C100" t="s">
        <v>471</v>
      </c>
    </row>
    <row r="101" spans="1:3" x14ac:dyDescent="0.45">
      <c r="A101" s="354" t="str">
        <f>IF(A51="↓","↓",IF(B51&lt;&gt;"","③物品等調達・管理","↓"))</f>
        <v>↓</v>
      </c>
      <c r="B101" s="366"/>
      <c r="C101" t="s">
        <v>471</v>
      </c>
    </row>
    <row r="102" spans="1:3" x14ac:dyDescent="0.45">
      <c r="A102" s="354" t="str">
        <f>IF(A51="↓","↓",IF(B51&lt;&gt;"","④各種届出等連絡調整","↓"))</f>
        <v>↓</v>
      </c>
      <c r="B102" s="366"/>
      <c r="C102" t="s">
        <v>471</v>
      </c>
    </row>
    <row r="103" spans="1:3" x14ac:dyDescent="0.45">
      <c r="A103" s="354" t="str">
        <f>IF(A51="↓","↓",IF(B51&lt;&gt;"","⑤設営・警備等会場管理","↓"))</f>
        <v>↓</v>
      </c>
      <c r="B103" s="366"/>
      <c r="C103" t="s">
        <v>471</v>
      </c>
    </row>
    <row r="104" spans="1:3" x14ac:dyDescent="0.45">
      <c r="A104" s="354" t="str">
        <f>IF(A51="↓","↓",IF(B51&lt;&gt;"","⑥各コーナー等運営（受付・模擬店・訓練等）","↓"))</f>
        <v>↓</v>
      </c>
      <c r="B104" s="366"/>
      <c r="C104" t="s">
        <v>471</v>
      </c>
    </row>
    <row r="105" spans="1:3" x14ac:dyDescent="0.45">
      <c r="A105" s="354" t="str">
        <f>IF(A51="↓","↓",IF(B51&lt;&gt;"","⑦踊り等専門的な指導・実演","↓"))</f>
        <v>↓</v>
      </c>
      <c r="B105" s="366"/>
      <c r="C105" t="s">
        <v>471</v>
      </c>
    </row>
    <row r="106" spans="1:3" x14ac:dyDescent="0.45">
      <c r="A106" t="str">
        <f>IF(A56="↓","↓",IF(B56&lt;&gt;"","共同実施団体・連携実施団体３の役割","↓"))</f>
        <v>↓</v>
      </c>
      <c r="B106" s="259" t="s">
        <v>96</v>
      </c>
    </row>
    <row r="107" spans="1:3" x14ac:dyDescent="0.45">
      <c r="A107" s="354" t="str">
        <f>IF(A56="↓","↓",IF(B56&lt;&gt;"","①企画、進行管理","↓"))</f>
        <v>↓</v>
      </c>
      <c r="B107" s="366"/>
      <c r="C107" t="s">
        <v>471</v>
      </c>
    </row>
    <row r="108" spans="1:3" x14ac:dyDescent="0.45">
      <c r="A108" s="354" t="str">
        <f>IF(A56="↓","↓",IF(B56&lt;&gt;"","②広報","↓"))</f>
        <v>↓</v>
      </c>
      <c r="B108" s="366"/>
      <c r="C108" t="s">
        <v>471</v>
      </c>
    </row>
    <row r="109" spans="1:3" x14ac:dyDescent="0.45">
      <c r="A109" s="354" t="str">
        <f>IF(A56="↓","↓",IF(B56&lt;&gt;"","③物品等調達・管理","↓"))</f>
        <v>↓</v>
      </c>
      <c r="B109" s="366"/>
      <c r="C109" t="s">
        <v>471</v>
      </c>
    </row>
    <row r="110" spans="1:3" x14ac:dyDescent="0.45">
      <c r="A110" s="354" t="str">
        <f>IF(A56="↓","↓",IF(B56&lt;&gt;"","④各種届出等連絡調整","↓"))</f>
        <v>↓</v>
      </c>
      <c r="B110" s="366"/>
      <c r="C110" t="s">
        <v>471</v>
      </c>
    </row>
    <row r="111" spans="1:3" x14ac:dyDescent="0.45">
      <c r="A111" s="354" t="str">
        <f>IF(A56="↓","↓",IF(B56&lt;&gt;"","⑤設営・警備等会場管理","↓"))</f>
        <v>↓</v>
      </c>
      <c r="B111" s="366"/>
      <c r="C111" t="s">
        <v>471</v>
      </c>
    </row>
    <row r="112" spans="1:3" x14ac:dyDescent="0.45">
      <c r="A112" s="354" t="str">
        <f>IF(A56="↓","↓",IF(B56&lt;&gt;"","⑥各コーナー等運営（受付・模擬店・訓練等）","↓"))</f>
        <v>↓</v>
      </c>
      <c r="B112" s="366"/>
      <c r="C112" t="s">
        <v>471</v>
      </c>
    </row>
    <row r="113" spans="1:3" x14ac:dyDescent="0.45">
      <c r="A113" s="354" t="str">
        <f>IF(A56="↓","↓",IF(B56&lt;&gt;"","⑦踊り等専門的な指導・実演","↓"))</f>
        <v>↓</v>
      </c>
      <c r="B113" s="366"/>
      <c r="C113" t="s">
        <v>471</v>
      </c>
    </row>
    <row r="114" spans="1:3" x14ac:dyDescent="0.45">
      <c r="A114" t="str">
        <f>IF(A61="↓","↓",IF(B61&lt;&gt;"","共同実施団体・連携実施団体４の役割","↓"))</f>
        <v>↓</v>
      </c>
      <c r="B114" s="259" t="s">
        <v>96</v>
      </c>
    </row>
    <row r="115" spans="1:3" x14ac:dyDescent="0.45">
      <c r="A115" s="354" t="str">
        <f>IF(A61="↓","↓",IF(B61&lt;&gt;"","①企画、進行管理","↓"))</f>
        <v>↓</v>
      </c>
      <c r="B115" s="366"/>
      <c r="C115" t="s">
        <v>471</v>
      </c>
    </row>
    <row r="116" spans="1:3" x14ac:dyDescent="0.45">
      <c r="A116" s="354" t="str">
        <f>IF(A61="↓","↓",IF(B61&lt;&gt;"","②広報","↓"))</f>
        <v>↓</v>
      </c>
      <c r="B116" s="366"/>
      <c r="C116" t="s">
        <v>471</v>
      </c>
    </row>
    <row r="117" spans="1:3" x14ac:dyDescent="0.45">
      <c r="A117" s="354" t="str">
        <f>IF(A61="↓","↓",IF(B61&lt;&gt;"","③物品等調達・管理","↓"))</f>
        <v>↓</v>
      </c>
      <c r="B117" s="366"/>
      <c r="C117" t="s">
        <v>471</v>
      </c>
    </row>
    <row r="118" spans="1:3" x14ac:dyDescent="0.45">
      <c r="A118" s="354" t="str">
        <f>IF(A61="↓","↓",IF(B61&lt;&gt;"","④各種届出等連絡調整","↓"))</f>
        <v>↓</v>
      </c>
      <c r="B118" s="366"/>
      <c r="C118" t="s">
        <v>471</v>
      </c>
    </row>
    <row r="119" spans="1:3" x14ac:dyDescent="0.45">
      <c r="A119" s="354" t="str">
        <f>IF(A61="↓","↓",IF(B61&lt;&gt;"","⑤設営・警備等会場管理","↓"))</f>
        <v>↓</v>
      </c>
      <c r="B119" s="366"/>
      <c r="C119" t="s">
        <v>471</v>
      </c>
    </row>
    <row r="120" spans="1:3" x14ac:dyDescent="0.45">
      <c r="A120" s="354" t="str">
        <f>IF(A61="↓","↓",IF(B61&lt;&gt;"","⑥各コーナー等運営（受付・模擬店・訓練等）","↓"))</f>
        <v>↓</v>
      </c>
      <c r="B120" s="366"/>
      <c r="C120" t="s">
        <v>471</v>
      </c>
    </row>
    <row r="121" spans="1:3" x14ac:dyDescent="0.45">
      <c r="A121" s="354" t="str">
        <f>IF(A61="↓","↓",IF(B61&lt;&gt;"","⑦踊り等専門的な指導・実演","↓"))</f>
        <v>↓</v>
      </c>
      <c r="B121" s="366"/>
      <c r="C121" t="s">
        <v>471</v>
      </c>
    </row>
    <row r="122" spans="1:3" x14ac:dyDescent="0.45">
      <c r="A122" t="str">
        <f>IF(A66="↓","↓",IF(B66&lt;&gt;"","共同実施団体・連携実施団体５の役割","↓"))</f>
        <v>↓</v>
      </c>
      <c r="B122" s="259" t="s">
        <v>96</v>
      </c>
    </row>
    <row r="123" spans="1:3" x14ac:dyDescent="0.45">
      <c r="A123" s="354" t="str">
        <f>IF(A66="↓","↓",IF(B66&lt;&gt;"","①企画、進行管理","↓"))</f>
        <v>↓</v>
      </c>
      <c r="B123" s="366"/>
      <c r="C123" t="s">
        <v>471</v>
      </c>
    </row>
    <row r="124" spans="1:3" x14ac:dyDescent="0.45">
      <c r="A124" s="354" t="str">
        <f>IF(A66="↓","↓",IF(B66&lt;&gt;"","②広報","↓"))</f>
        <v>↓</v>
      </c>
      <c r="B124" s="366"/>
      <c r="C124" t="s">
        <v>471</v>
      </c>
    </row>
    <row r="125" spans="1:3" x14ac:dyDescent="0.45">
      <c r="A125" s="354" t="str">
        <f>IF(A66="↓","↓",IF(B66&lt;&gt;"","③物品等調達・管理","↓"))</f>
        <v>↓</v>
      </c>
      <c r="B125" s="366"/>
      <c r="C125" t="s">
        <v>471</v>
      </c>
    </row>
    <row r="126" spans="1:3" x14ac:dyDescent="0.45">
      <c r="A126" s="354" t="str">
        <f>IF(A66="↓","↓",IF(B66&lt;&gt;"","④各種届出等連絡調整","↓"))</f>
        <v>↓</v>
      </c>
      <c r="B126" s="366"/>
      <c r="C126" t="s">
        <v>471</v>
      </c>
    </row>
    <row r="127" spans="1:3" x14ac:dyDescent="0.45">
      <c r="A127" s="354" t="str">
        <f>IF(A66="↓","↓",IF(B66&lt;&gt;"","⑤設営・警備等会場管理","↓"))</f>
        <v>↓</v>
      </c>
      <c r="B127" s="366"/>
      <c r="C127" t="s">
        <v>471</v>
      </c>
    </row>
    <row r="128" spans="1:3" x14ac:dyDescent="0.45">
      <c r="A128" s="354" t="str">
        <f>IF(A66="↓","↓",IF(B66&lt;&gt;"","⑥各コーナー等運営（受付・模擬店・訓練等）","↓"))</f>
        <v>↓</v>
      </c>
      <c r="B128" s="366"/>
      <c r="C128" t="s">
        <v>471</v>
      </c>
    </row>
    <row r="129" spans="1:3" x14ac:dyDescent="0.45">
      <c r="A129" s="354" t="str">
        <f>IF(A66="↓","↓",IF(B66&lt;&gt;"","⑦踊り等専門的な指導・実演","↓"))</f>
        <v>↓</v>
      </c>
      <c r="B129" s="366"/>
      <c r="C129" t="s">
        <v>471</v>
      </c>
    </row>
    <row r="130" spans="1:3" x14ac:dyDescent="0.45">
      <c r="A130" t="str">
        <f>IF(A71="↓","↓",IF(B71&lt;&gt;"","共同実施団体・連携実施団体６の役割","↓"))</f>
        <v>↓</v>
      </c>
      <c r="B130" s="259" t="s">
        <v>96</v>
      </c>
    </row>
    <row r="131" spans="1:3" x14ac:dyDescent="0.45">
      <c r="A131" s="354" t="str">
        <f>IF(A71="↓","↓",IF(B71&lt;&gt;"","①企画、進行管理","↓"))</f>
        <v>↓</v>
      </c>
      <c r="B131" s="366"/>
      <c r="C131" t="s">
        <v>471</v>
      </c>
    </row>
    <row r="132" spans="1:3" x14ac:dyDescent="0.45">
      <c r="A132" s="354" t="str">
        <f>IF(A71="↓","↓",IF(B71&lt;&gt;"","②広報","↓"))</f>
        <v>↓</v>
      </c>
      <c r="B132" s="366"/>
      <c r="C132" t="s">
        <v>471</v>
      </c>
    </row>
    <row r="133" spans="1:3" x14ac:dyDescent="0.45">
      <c r="A133" s="354" t="str">
        <f>IF(A71="↓","↓",IF(B71&lt;&gt;"","③物品等調達・管理","↓"))</f>
        <v>↓</v>
      </c>
      <c r="B133" s="366"/>
      <c r="C133" t="s">
        <v>471</v>
      </c>
    </row>
    <row r="134" spans="1:3" x14ac:dyDescent="0.45">
      <c r="A134" s="354" t="str">
        <f>IF(A71="↓","↓",IF(B71&lt;&gt;"","④各種届出等連絡調整","↓"))</f>
        <v>↓</v>
      </c>
      <c r="B134" s="366"/>
      <c r="C134" t="s">
        <v>471</v>
      </c>
    </row>
    <row r="135" spans="1:3" x14ac:dyDescent="0.45">
      <c r="A135" s="354" t="str">
        <f>IF(A71="↓","↓",IF(B71&lt;&gt;"","⑤設営・警備等会場管理","↓"))</f>
        <v>↓</v>
      </c>
      <c r="B135" s="366"/>
      <c r="C135" t="s">
        <v>471</v>
      </c>
    </row>
    <row r="136" spans="1:3" x14ac:dyDescent="0.45">
      <c r="A136" s="354" t="str">
        <f>IF(A71="↓","↓",IF(B71&lt;&gt;"","⑥各コーナー等運営（受付・模擬店・訓練等）","↓"))</f>
        <v>↓</v>
      </c>
      <c r="B136" s="366"/>
      <c r="C136" t="s">
        <v>471</v>
      </c>
    </row>
    <row r="137" spans="1:3" x14ac:dyDescent="0.45">
      <c r="A137" s="354" t="str">
        <f>IF(A71="↓","↓",IF(B71&lt;&gt;"","⑦踊り等専門的な指導・実演","↓"))</f>
        <v>↓</v>
      </c>
      <c r="B137" s="366"/>
      <c r="C137" t="s">
        <v>471</v>
      </c>
    </row>
    <row r="138" spans="1:3" x14ac:dyDescent="0.45">
      <c r="A138" t="str">
        <f>IF(A76="↓","↓",IF(B76&lt;&gt;"","共同実施団体・連携実施団体７の役割","↓"))</f>
        <v>↓</v>
      </c>
      <c r="B138" s="259" t="s">
        <v>96</v>
      </c>
    </row>
    <row r="139" spans="1:3" x14ac:dyDescent="0.45">
      <c r="A139" s="354" t="str">
        <f>IF(A76="↓","↓",IF(B76&lt;&gt;"","①企画、進行管理","↓"))</f>
        <v>↓</v>
      </c>
      <c r="B139" s="366"/>
      <c r="C139" t="s">
        <v>471</v>
      </c>
    </row>
    <row r="140" spans="1:3" x14ac:dyDescent="0.45">
      <c r="A140" s="354" t="str">
        <f>IF(A76="↓","↓",IF(B76&lt;&gt;"","②広報","↓"))</f>
        <v>↓</v>
      </c>
      <c r="B140" s="366"/>
      <c r="C140" t="s">
        <v>471</v>
      </c>
    </row>
    <row r="141" spans="1:3" x14ac:dyDescent="0.45">
      <c r="A141" s="354" t="str">
        <f>IF(A76="↓","↓",IF(B76&lt;&gt;"","③物品等調達・管理","↓"))</f>
        <v>↓</v>
      </c>
      <c r="B141" s="366"/>
      <c r="C141" t="s">
        <v>471</v>
      </c>
    </row>
    <row r="142" spans="1:3" x14ac:dyDescent="0.45">
      <c r="A142" s="354" t="str">
        <f>IF(A76="↓","↓",IF(B76&lt;&gt;"","④各種届出等連絡調整","↓"))</f>
        <v>↓</v>
      </c>
      <c r="B142" s="366"/>
      <c r="C142" t="s">
        <v>471</v>
      </c>
    </row>
    <row r="143" spans="1:3" x14ac:dyDescent="0.45">
      <c r="A143" s="354" t="str">
        <f>IF(A76="↓","↓",IF(B76&lt;&gt;"","⑤設営・警備等会場管理","↓"))</f>
        <v>↓</v>
      </c>
      <c r="B143" s="366"/>
      <c r="C143" t="s">
        <v>471</v>
      </c>
    </row>
    <row r="144" spans="1:3" x14ac:dyDescent="0.45">
      <c r="A144" s="354" t="str">
        <f>IF(A76="↓","↓",IF(B76&lt;&gt;"","⑥各コーナー等運営（受付・模擬店・訓練等）","↓"))</f>
        <v>↓</v>
      </c>
      <c r="B144" s="366"/>
      <c r="C144" t="s">
        <v>471</v>
      </c>
    </row>
    <row r="145" spans="1:6" x14ac:dyDescent="0.45">
      <c r="A145" s="354" t="str">
        <f>IF(A76="↓","↓",IF(B76&lt;&gt;"","⑦踊り等専門的な指導・実演","↓"))</f>
        <v>↓</v>
      </c>
      <c r="B145" s="366"/>
      <c r="C145" t="s">
        <v>471</v>
      </c>
    </row>
    <row r="146" spans="1:6" x14ac:dyDescent="0.45">
      <c r="A146" t="s">
        <v>104</v>
      </c>
      <c r="B146" s="366" t="s">
        <v>636</v>
      </c>
    </row>
    <row r="147" spans="1:6" x14ac:dyDescent="0.45">
      <c r="A147" t="s">
        <v>370</v>
      </c>
      <c r="B147" s="366"/>
      <c r="C147" t="s">
        <v>483</v>
      </c>
    </row>
    <row r="148" spans="1:6" x14ac:dyDescent="0.45">
      <c r="A148" t="s">
        <v>544</v>
      </c>
      <c r="B148" s="366"/>
      <c r="C148" t="s">
        <v>483</v>
      </c>
    </row>
    <row r="149" spans="1:6" x14ac:dyDescent="0.45">
      <c r="A149" t="s">
        <v>371</v>
      </c>
      <c r="B149" s="366"/>
      <c r="C149" t="s">
        <v>483</v>
      </c>
    </row>
    <row r="150" spans="1:6" x14ac:dyDescent="0.45">
      <c r="A150" t="s">
        <v>372</v>
      </c>
      <c r="B150" s="366"/>
      <c r="C150" t="s">
        <v>483</v>
      </c>
    </row>
    <row r="151" spans="1:6" x14ac:dyDescent="0.45">
      <c r="A151" t="s">
        <v>373</v>
      </c>
      <c r="B151" s="366"/>
      <c r="C151" t="s">
        <v>483</v>
      </c>
    </row>
    <row r="152" spans="1:6" ht="36" x14ac:dyDescent="0.45">
      <c r="A152" s="119" t="s">
        <v>545</v>
      </c>
      <c r="B152" s="366"/>
      <c r="C152" t="s">
        <v>483</v>
      </c>
    </row>
    <row r="153" spans="1:6" x14ac:dyDescent="0.45">
      <c r="A153" t="s">
        <v>374</v>
      </c>
      <c r="B153" s="366" t="s">
        <v>619</v>
      </c>
      <c r="C153" t="s">
        <v>484</v>
      </c>
    </row>
    <row r="154" spans="1:6" x14ac:dyDescent="0.45">
      <c r="A154" s="354" t="str">
        <f>IF(B147="","↓","地域の課題解決の具体的な内容：祭り")</f>
        <v>↓</v>
      </c>
      <c r="B154" s="366"/>
      <c r="C154" t="str">
        <f>IF($B$147="", "","←該当する場合、プルダウンから☑を選択")</f>
        <v/>
      </c>
    </row>
    <row r="155" spans="1:6" x14ac:dyDescent="0.45">
      <c r="A155" s="354" t="str">
        <f>IF(B147="","↓","地域の課題解決の具体的な内容：盆踊り")</f>
        <v>↓</v>
      </c>
      <c r="B155" s="366"/>
      <c r="C155" t="str">
        <f t="shared" ref="C155:C158" si="0">IF($B$147="", "","←該当する場合、プルダウンから☑を選択")</f>
        <v/>
      </c>
    </row>
    <row r="156" spans="1:6" x14ac:dyDescent="0.45">
      <c r="A156" s="354" t="str">
        <f>IF(B147="","↓","地域の課題解決の具体的な内容：餅つき")</f>
        <v>↓</v>
      </c>
      <c r="B156" s="366"/>
      <c r="C156" t="str">
        <f t="shared" si="0"/>
        <v/>
      </c>
    </row>
    <row r="157" spans="1:6" x14ac:dyDescent="0.45">
      <c r="A157" s="354" t="str">
        <f>IF(B147="","↓","地域の課題解決の具体的な内容：運動会")</f>
        <v>↓</v>
      </c>
      <c r="B157" s="366"/>
      <c r="C157" t="str">
        <f t="shared" si="0"/>
        <v/>
      </c>
    </row>
    <row r="158" spans="1:6" x14ac:dyDescent="0.45">
      <c r="A158" s="354" t="str">
        <f>IF(B147="","↓","地域の課題解決の具体的な内容：文化祭")</f>
        <v>↓</v>
      </c>
      <c r="B158" s="366"/>
      <c r="C158" t="str">
        <f t="shared" si="0"/>
        <v/>
      </c>
    </row>
    <row r="159" spans="1:6" x14ac:dyDescent="0.45">
      <c r="A159" s="354" t="str">
        <f>IF(B147="","↓","地域の課題解決の具体的な内容：加入促進")</f>
        <v>↓</v>
      </c>
      <c r="B159" s="366"/>
      <c r="C159" t="str">
        <f>IF($B$147="", "","←該当する場合、プルダウンから☑を選択")</f>
        <v/>
      </c>
    </row>
    <row r="160" spans="1:6" x14ac:dyDescent="0.45">
      <c r="A160" s="354" t="str">
        <f>IF(B147="","↓","地域の課題解決の具体的な内容：その他")</f>
        <v>↓</v>
      </c>
      <c r="B160" s="366"/>
      <c r="C160" t="str">
        <f>IF($B$147="", "","←該当する場合、内容を手入力")</f>
        <v/>
      </c>
      <c r="F160" t="str">
        <f>IF(B160="", "", "（"&amp;B160&amp;"）")</f>
        <v/>
      </c>
    </row>
    <row r="161" spans="1:6" x14ac:dyDescent="0.45">
      <c r="A161" s="354" t="str">
        <f>IF(B148="","↓","防災節電の具体的な内容：避難訓練")</f>
        <v>↓</v>
      </c>
      <c r="B161" s="366"/>
      <c r="C161" t="str">
        <f>IF($B$148="", "","←該当する場合、プルダウンから☑を選択")</f>
        <v/>
      </c>
    </row>
    <row r="162" spans="1:6" x14ac:dyDescent="0.45">
      <c r="A162" s="354" t="str">
        <f>IF(B148="","↓","防災節電の具体的な内容：消火訓練")</f>
        <v>↓</v>
      </c>
      <c r="B162" s="366"/>
      <c r="C162" t="str">
        <f t="shared" ref="C162:C173" si="1">IF($B$148="", "","←該当する場合、プルダウンから☑を選択")</f>
        <v/>
      </c>
    </row>
    <row r="163" spans="1:6" x14ac:dyDescent="0.45">
      <c r="A163" s="354" t="str">
        <f>IF(B148="","↓","防災節電の具体的な内容：炊き出し訓練")</f>
        <v>↓</v>
      </c>
      <c r="B163" s="366"/>
      <c r="C163" t="str">
        <f t="shared" si="1"/>
        <v/>
      </c>
    </row>
    <row r="164" spans="1:6" x14ac:dyDescent="0.45">
      <c r="A164" s="354" t="str">
        <f>IF(B148="","↓","防災節電の具体的な内容：応急救護訓練")</f>
        <v>↓</v>
      </c>
      <c r="B164" s="366"/>
      <c r="C164" t="str">
        <f t="shared" si="1"/>
        <v/>
      </c>
    </row>
    <row r="165" spans="1:6" x14ac:dyDescent="0.45">
      <c r="A165" s="354" t="str">
        <f>IF(B148="","↓","防災節電の具体的な内容：通信訓練")</f>
        <v>↓</v>
      </c>
      <c r="B165" s="366"/>
      <c r="C165" t="str">
        <f t="shared" si="1"/>
        <v/>
      </c>
    </row>
    <row r="166" spans="1:6" x14ac:dyDescent="0.45">
      <c r="A166" s="354" t="str">
        <f>IF(B148="","↓","防災節電の具体的な内容：安否確認訓練")</f>
        <v>↓</v>
      </c>
      <c r="B166" s="366"/>
      <c r="C166" t="str">
        <f t="shared" si="1"/>
        <v/>
      </c>
    </row>
    <row r="167" spans="1:6" x14ac:dyDescent="0.45">
      <c r="A167" s="354" t="str">
        <f>IF(B148="","↓","防災節電の具体的な内容：名簿作成")</f>
        <v>↓</v>
      </c>
      <c r="B167" s="366"/>
      <c r="C167" t="str">
        <f t="shared" si="1"/>
        <v/>
      </c>
    </row>
    <row r="168" spans="1:6" x14ac:dyDescent="0.45">
      <c r="A168" s="354" t="str">
        <f>IF(B148="","↓","防災節電の具体的な内容：防災マニュアル作成")</f>
        <v>↓</v>
      </c>
      <c r="B168" s="366"/>
      <c r="C168" t="str">
        <f t="shared" si="1"/>
        <v/>
      </c>
    </row>
    <row r="169" spans="1:6" x14ac:dyDescent="0.45">
      <c r="A169" s="354" t="str">
        <f>IF(B148="","↓","防災節電の具体的な内容：防災マップ作成")</f>
        <v>↓</v>
      </c>
      <c r="B169" s="366"/>
      <c r="C169" t="str">
        <f t="shared" si="1"/>
        <v/>
      </c>
    </row>
    <row r="170" spans="1:6" x14ac:dyDescent="0.45">
      <c r="A170" s="354" t="str">
        <f>IF(B148="","↓","防災節電の具体的な内容：防災講習会")</f>
        <v>↓</v>
      </c>
      <c r="B170" s="366"/>
      <c r="C170" t="str">
        <f t="shared" si="1"/>
        <v/>
      </c>
    </row>
    <row r="171" spans="1:6" x14ac:dyDescent="0.45">
      <c r="A171" s="354" t="str">
        <f>IF(B148="","↓","防災節電の具体的な内容：ＡＥＤ訓練")</f>
        <v>↓</v>
      </c>
      <c r="B171" s="366"/>
      <c r="C171" t="str">
        <f t="shared" si="1"/>
        <v/>
      </c>
    </row>
    <row r="172" spans="1:6" x14ac:dyDescent="0.45">
      <c r="A172" s="354" t="str">
        <f>IF(B148="","↓","防災節電の具体的な内容：仮設トイレ設置訓練")</f>
        <v>↓</v>
      </c>
      <c r="B172" s="366"/>
      <c r="C172" t="str">
        <f t="shared" si="1"/>
        <v/>
      </c>
    </row>
    <row r="173" spans="1:6" x14ac:dyDescent="0.45">
      <c r="A173" s="354" t="str">
        <f>IF(B148="","↓","防災節電の具体的な内容：煙体験")</f>
        <v>↓</v>
      </c>
      <c r="B173" s="366"/>
      <c r="C173" t="str">
        <f t="shared" si="1"/>
        <v/>
      </c>
    </row>
    <row r="174" spans="1:6" x14ac:dyDescent="0.45">
      <c r="A174" s="354" t="str">
        <f>IF(B148="","↓","防災節電の具体的な内容：普及啓発チラシ配布")</f>
        <v>↓</v>
      </c>
      <c r="B174" s="366"/>
      <c r="C174" t="str">
        <f>IF($B$148="", "","←該当する場合、プルダウンから☑を選択")</f>
        <v/>
      </c>
    </row>
    <row r="175" spans="1:6" x14ac:dyDescent="0.45">
      <c r="A175" s="354" t="str">
        <f>IF(B148="","↓","防災節電の具体的な内容：その他")</f>
        <v>↓</v>
      </c>
      <c r="B175" s="366"/>
      <c r="C175" t="str">
        <f>IF($B$148="", "","←該当する場合、内容を手入力")</f>
        <v/>
      </c>
      <c r="F175" t="str">
        <f>IF(B175="", "", "（"&amp;B175&amp;"）")</f>
        <v/>
      </c>
    </row>
    <row r="176" spans="1:6" x14ac:dyDescent="0.45">
      <c r="A176" s="354" t="str">
        <f>IF(B149="","↓","子ども・若者育成支援の具体的な内容：活躍の場づくり")</f>
        <v>↓</v>
      </c>
      <c r="B176" s="366"/>
      <c r="C176" t="str">
        <f>IF($B$149="", "","←該当する場合、プルダウンから☑を選択")</f>
        <v/>
      </c>
    </row>
    <row r="177" spans="1:6" x14ac:dyDescent="0.45">
      <c r="A177" s="354" t="str">
        <f>IF(B149="","↓","子ども・若者育成支援の具体的な内容：交通安全")</f>
        <v>↓</v>
      </c>
      <c r="B177" s="366"/>
      <c r="C177" t="str">
        <f t="shared" ref="C177:C179" si="2">IF($B$149="", "","←該当する場合、プルダウンから☑を選択")</f>
        <v/>
      </c>
    </row>
    <row r="178" spans="1:6" x14ac:dyDescent="0.45">
      <c r="A178" s="354" t="str">
        <f>IF(B149="","↓","子ども・若者育成支援の具体的な内容：自然体験")</f>
        <v>↓</v>
      </c>
      <c r="B178" s="366"/>
      <c r="C178" t="str">
        <f t="shared" si="2"/>
        <v/>
      </c>
    </row>
    <row r="179" spans="1:6" x14ac:dyDescent="0.45">
      <c r="A179" s="354" t="str">
        <f>IF(B149="","↓","子ども・若者育成支援の具体的な内容：しごと体験")</f>
        <v>↓</v>
      </c>
      <c r="B179" s="366"/>
      <c r="C179" t="str">
        <f t="shared" si="2"/>
        <v/>
      </c>
    </row>
    <row r="180" spans="1:6" x14ac:dyDescent="0.45">
      <c r="A180" s="354" t="str">
        <f>IF(B149="","↓","子ども・若者育成支援の具体的な内容：伝統文化の継承")</f>
        <v>↓</v>
      </c>
      <c r="B180" s="366"/>
      <c r="C180" t="str">
        <f>IF($B$149="", "","←該当する場合、プルダウンから☑を選択")</f>
        <v/>
      </c>
    </row>
    <row r="181" spans="1:6" x14ac:dyDescent="0.45">
      <c r="A181" s="354" t="str">
        <f>IF(B149="","↓","子ども・若者育成支援の具体的な内容：その他")</f>
        <v>↓</v>
      </c>
      <c r="B181" s="366"/>
      <c r="C181" t="str">
        <f>IF($B$149="", "","←該当する場合、内容を手入力")</f>
        <v/>
      </c>
      <c r="F181" t="str">
        <f>IF(B181="", "", "（"&amp;B181&amp;"）")</f>
        <v/>
      </c>
    </row>
    <row r="182" spans="1:6" x14ac:dyDescent="0.45">
      <c r="A182" s="354" t="str">
        <f>IF(B150="","↓","高齢者等見守りの具体的な内容：見守り訪問")</f>
        <v>↓</v>
      </c>
      <c r="B182" s="366"/>
      <c r="C182" t="str">
        <f>IF($B$150="", "","←該当する場合、プルダウンから☑を選択")</f>
        <v/>
      </c>
    </row>
    <row r="183" spans="1:6" x14ac:dyDescent="0.45">
      <c r="A183" s="354" t="str">
        <f>IF(B150="","↓","高齢者等見守りの具体的な内容：多世代交流サロン")</f>
        <v>↓</v>
      </c>
      <c r="B183" s="366"/>
      <c r="C183" t="str">
        <f>IF($B$150="", "","←該当する場合、プルダウンから☑を選択")</f>
        <v/>
      </c>
    </row>
    <row r="184" spans="1:6" x14ac:dyDescent="0.45">
      <c r="A184" s="354" t="str">
        <f>IF(B150="","↓","高齢者等見守りの具体的な内容：その他")</f>
        <v>↓</v>
      </c>
      <c r="B184" s="366"/>
      <c r="C184" t="str">
        <f>IF($B$150="", "","←該当する場合、内容を手入力")</f>
        <v/>
      </c>
      <c r="F184" t="str">
        <f>IF(B184="", "", "（"&amp;B184&amp;"）")</f>
        <v/>
      </c>
    </row>
    <row r="185" spans="1:6" x14ac:dyDescent="0.45">
      <c r="A185" s="354" t="str">
        <f>IF(B151="","↓","防犯の具体的な内容：防犯パトロール")</f>
        <v>↓</v>
      </c>
      <c r="B185" s="366"/>
      <c r="C185" t="str">
        <f>IF($B$151="", "","←該当する場合、プルダウンから☑を選択")</f>
        <v/>
      </c>
    </row>
    <row r="186" spans="1:6" x14ac:dyDescent="0.45">
      <c r="A186" s="354" t="str">
        <f>IF(B151="","↓","防犯の具体的な内容：防犯講習会")</f>
        <v>↓</v>
      </c>
      <c r="B186" s="366"/>
      <c r="C186" t="str">
        <f t="shared" ref="C186:C187" si="3">IF($B$151="", "","←該当する場合、プルダウンから☑を選択")</f>
        <v/>
      </c>
    </row>
    <row r="187" spans="1:6" x14ac:dyDescent="0.45">
      <c r="A187" s="354" t="str">
        <f>IF(B151="","↓","防犯の具体的な内容：防犯マップ作成")</f>
        <v>↓</v>
      </c>
      <c r="B187" s="366"/>
      <c r="C187" t="str">
        <f t="shared" si="3"/>
        <v/>
      </c>
    </row>
    <row r="188" spans="1:6" x14ac:dyDescent="0.45">
      <c r="A188" s="354" t="str">
        <f>IF(B151="","↓","防犯の具体的な内容：振り込め詐欺防止")</f>
        <v>↓</v>
      </c>
      <c r="B188" s="366"/>
      <c r="C188" t="str">
        <f>IF($B$151="", "","←該当する場合、プルダウンから☑を選択")</f>
        <v/>
      </c>
    </row>
    <row r="189" spans="1:6" x14ac:dyDescent="0.45">
      <c r="A189" s="354" t="str">
        <f>IF(B151="","↓","防犯の具体的な内容：その他")</f>
        <v>↓</v>
      </c>
      <c r="B189" s="366"/>
      <c r="C189" t="str">
        <f>IF($B$151="", "","←該当する場合、内容を手入力")</f>
        <v/>
      </c>
      <c r="F189" t="str">
        <f>IF(B189="", "", "（"&amp;B189&amp;"）")</f>
        <v/>
      </c>
    </row>
    <row r="190" spans="1:6" x14ac:dyDescent="0.45">
      <c r="A190" s="365" t="str">
        <f>IF(B152="","↓","多文化共生社会づくりの具体的な内容：理解促進チラシ等配布")</f>
        <v>↓</v>
      </c>
      <c r="B190" s="366"/>
      <c r="C190" t="str">
        <f>IF($B$152="", "","←該当する場合、プルダウンから☑を選択")</f>
        <v/>
      </c>
    </row>
    <row r="191" spans="1:6" x14ac:dyDescent="0.45">
      <c r="A191" s="365" t="str">
        <f>IF(B152="","↓","多文化共生社会づくりの具体的な内容：事業周知物等の多言語化")</f>
        <v>↓</v>
      </c>
      <c r="B191" s="366"/>
      <c r="C191" t="str">
        <f t="shared" ref="C191:C192" si="4">IF($B$152="", "","←該当する場合、プルダウンから☑を選択")</f>
        <v/>
      </c>
    </row>
    <row r="192" spans="1:6" x14ac:dyDescent="0.45">
      <c r="A192" s="345" t="str">
        <f>IF(B152="","↓","多文化共生社会づくりの具体的な内容：やさしい日本語による周知物")</f>
        <v>↓</v>
      </c>
      <c r="B192" s="366"/>
      <c r="C192" t="str">
        <f t="shared" si="4"/>
        <v/>
      </c>
    </row>
    <row r="193" spans="1:6" x14ac:dyDescent="0.45">
      <c r="A193" s="354" t="str">
        <f>IF(B152="","↓","多文化共生社会づくりの具体的な内容：国際交流")</f>
        <v>↓</v>
      </c>
      <c r="B193" s="366"/>
      <c r="C193" t="str">
        <f>IF($B$152="", "","←該当する場合、プルダウンから☑を選択")</f>
        <v/>
      </c>
    </row>
    <row r="194" spans="1:6" x14ac:dyDescent="0.45">
      <c r="A194" s="354" t="str">
        <f>IF(B152="","↓","多文化共生社会づくりの具体的な内容：その他")</f>
        <v>↓</v>
      </c>
      <c r="B194" s="366"/>
      <c r="C194" t="str">
        <f>IF($B$152="", "","←該当する場合、内容を手入力")</f>
        <v/>
      </c>
      <c r="F194" t="str">
        <f>IF(B194="", "", "（"&amp;B194&amp;"）")</f>
        <v/>
      </c>
    </row>
    <row r="195" spans="1:6" x14ac:dyDescent="0.45">
      <c r="A195" s="354" t="str">
        <f>IF(B153="","↓","デジタル活用支援の具体的な内容：デジタル活用講習会")</f>
        <v>デジタル活用支援の具体的な内容：デジタル活用講習会</v>
      </c>
      <c r="B195" s="366" t="s">
        <v>619</v>
      </c>
      <c r="C195" t="str">
        <f>IF($B$153="", "","←該当する場合、プルダウンから☑を選択")</f>
        <v>←該当する場合、プルダウンから☑を選択</v>
      </c>
    </row>
    <row r="196" spans="1:6" x14ac:dyDescent="0.45">
      <c r="A196" s="354" t="str">
        <f>IF(B153="","↓","デジタル活用支援の具体的な内容：オンライン配信")</f>
        <v>デジタル活用支援の具体的な内容：オンライン配信</v>
      </c>
      <c r="B196" s="366"/>
      <c r="C196" t="str">
        <f>IF($B$153="", "","←該当する場合、プルダウンから☑を選択")</f>
        <v>←該当する場合、プルダウンから☑を選択</v>
      </c>
    </row>
    <row r="197" spans="1:6" x14ac:dyDescent="0.45">
      <c r="A197" s="354" t="str">
        <f>IF(B153="","↓","デジタル活用支援の具体的な内容：その他")</f>
        <v>デジタル活用支援の具体的な内容：その他</v>
      </c>
      <c r="B197" s="366"/>
      <c r="C197" t="str">
        <f>IF($B$153="", "","←該当する場合、内容を手入力")</f>
        <v>←該当する場合、内容を手入力</v>
      </c>
      <c r="F197" t="str">
        <f>IF(B197="", "", "（"&amp;B197&amp;"）")</f>
        <v/>
      </c>
    </row>
    <row r="198" spans="1:6" ht="36" x14ac:dyDescent="0.45">
      <c r="A198" t="s">
        <v>476</v>
      </c>
      <c r="B198" s="375" t="s">
        <v>637</v>
      </c>
      <c r="C198" s="391">
        <f>LEN(B198)</f>
        <v>53</v>
      </c>
    </row>
    <row r="199" spans="1:6" ht="72" x14ac:dyDescent="0.45">
      <c r="A199" t="s">
        <v>477</v>
      </c>
      <c r="B199" s="375" t="s">
        <v>643</v>
      </c>
      <c r="C199" s="391">
        <f>LEN(B199)</f>
        <v>93</v>
      </c>
    </row>
    <row r="200" spans="1:6" x14ac:dyDescent="0.45">
      <c r="A200" t="s">
        <v>487</v>
      </c>
      <c r="B200" s="366" t="s">
        <v>638</v>
      </c>
      <c r="F200" t="str">
        <f>IF(B200="", "", B200)</f>
        <v>東京一丁目町会会館</v>
      </c>
    </row>
    <row r="201" spans="1:6" x14ac:dyDescent="0.45">
      <c r="A201" t="str">
        <f>IF(B200="","↓","実施場所２")</f>
        <v>実施場所２</v>
      </c>
      <c r="B201" s="366"/>
      <c r="F201" t="str">
        <f>IF(B201="", "", "、"&amp;B201)</f>
        <v/>
      </c>
    </row>
    <row r="202" spans="1:6" x14ac:dyDescent="0.45">
      <c r="A202" t="str">
        <f>IF(B201="","↓","実施場所３")</f>
        <v>↓</v>
      </c>
      <c r="B202" s="366"/>
      <c r="F202" t="str">
        <f t="shared" ref="F202:F205" si="5">IF(B202="", "", "、"&amp;B202)</f>
        <v/>
      </c>
    </row>
    <row r="203" spans="1:6" x14ac:dyDescent="0.45">
      <c r="A203" t="str">
        <f>IF(B202="","↓","実施場所４")</f>
        <v>↓</v>
      </c>
      <c r="B203" s="366"/>
      <c r="F203" t="str">
        <f t="shared" si="5"/>
        <v/>
      </c>
    </row>
    <row r="204" spans="1:6" x14ac:dyDescent="0.45">
      <c r="A204" t="str">
        <f>IF(B203="","↓","実施場所５")</f>
        <v>↓</v>
      </c>
      <c r="B204" s="366"/>
      <c r="F204" t="str">
        <f t="shared" si="5"/>
        <v/>
      </c>
    </row>
    <row r="205" spans="1:6" x14ac:dyDescent="0.45">
      <c r="A205" t="str">
        <f>IF(B204="","↓","実施場所６")</f>
        <v>↓</v>
      </c>
      <c r="B205" s="366"/>
      <c r="F205" t="str">
        <f t="shared" si="5"/>
        <v/>
      </c>
    </row>
    <row r="206" spans="1:6" x14ac:dyDescent="0.45">
      <c r="A206" t="s">
        <v>111</v>
      </c>
      <c r="B206" s="374">
        <v>30</v>
      </c>
    </row>
    <row r="207" spans="1:6" x14ac:dyDescent="0.45">
      <c r="A207" t="s">
        <v>112</v>
      </c>
      <c r="B207" s="376" t="s">
        <v>630</v>
      </c>
      <c r="C207" t="s">
        <v>488</v>
      </c>
      <c r="F207" t="str">
        <f>IF(B207="", "", B207)</f>
        <v>10月18日</v>
      </c>
    </row>
    <row r="208" spans="1:6" x14ac:dyDescent="0.45">
      <c r="A208" t="str">
        <f>IF(B207="","↓","実施予定日２（なければ記入不要）")</f>
        <v>実施予定日２（なければ記入不要）</v>
      </c>
      <c r="B208" s="376"/>
      <c r="C208" t="s">
        <v>489</v>
      </c>
      <c r="F208" t="str">
        <f>IF(B208="", "", "、"&amp;B208)</f>
        <v/>
      </c>
    </row>
    <row r="209" spans="1:6" x14ac:dyDescent="0.45">
      <c r="A209" t="str">
        <f>IF(B208="","↓","実施予定日３（なければ記入不要）")</f>
        <v>↓</v>
      </c>
      <c r="B209" s="376"/>
      <c r="F209" t="str">
        <f>IF(B209="", "", "、"&amp;B209)</f>
        <v/>
      </c>
    </row>
    <row r="210" spans="1:6" x14ac:dyDescent="0.45">
      <c r="A210" t="str">
        <f>IF(B209="","↓","実施予定日４（なければ記入不要）")</f>
        <v>↓</v>
      </c>
      <c r="B210" s="376"/>
      <c r="F210" t="str">
        <f t="shared" ref="F210:F212" si="6">IF(B210="", "", "、"&amp;B210)</f>
        <v/>
      </c>
    </row>
    <row r="211" spans="1:6" x14ac:dyDescent="0.45">
      <c r="A211" t="str">
        <f>IF(B210="","↓","実施予定日５（なければ記入不要）")</f>
        <v>↓</v>
      </c>
      <c r="B211" s="376"/>
      <c r="F211" t="str">
        <f t="shared" si="6"/>
        <v/>
      </c>
    </row>
    <row r="212" spans="1:6" x14ac:dyDescent="0.45">
      <c r="A212" t="str">
        <f>IF(B211="","↓","実施予定日６（なければ記入不要）")</f>
        <v>↓</v>
      </c>
      <c r="B212" s="376"/>
      <c r="F212" t="str">
        <f t="shared" si="6"/>
        <v/>
      </c>
    </row>
    <row r="213" spans="1:6" x14ac:dyDescent="0.45">
      <c r="A213" t="s">
        <v>113</v>
      </c>
      <c r="B213" s="366" t="s">
        <v>639</v>
      </c>
      <c r="C213" t="s">
        <v>546</v>
      </c>
    </row>
    <row r="214" spans="1:6" x14ac:dyDescent="0.45">
      <c r="A214" t="s">
        <v>114</v>
      </c>
      <c r="B214" s="377">
        <v>45843</v>
      </c>
      <c r="C214" t="s">
        <v>490</v>
      </c>
    </row>
    <row r="215" spans="1:6" x14ac:dyDescent="0.45">
      <c r="A215" t="s">
        <v>115</v>
      </c>
      <c r="B215" s="377">
        <v>45962</v>
      </c>
      <c r="C215" t="s">
        <v>490</v>
      </c>
    </row>
    <row r="216" spans="1:6" x14ac:dyDescent="0.45">
      <c r="A216" t="s">
        <v>547</v>
      </c>
      <c r="B216" s="366">
        <v>3</v>
      </c>
    </row>
    <row r="217" spans="1:6" x14ac:dyDescent="0.45">
      <c r="A217" t="s">
        <v>548</v>
      </c>
      <c r="B217" s="366">
        <v>45</v>
      </c>
    </row>
    <row r="218" spans="1:6" x14ac:dyDescent="0.45">
      <c r="A218" t="s">
        <v>116</v>
      </c>
      <c r="B218" s="366" t="s">
        <v>619</v>
      </c>
      <c r="C218" t="s">
        <v>483</v>
      </c>
    </row>
    <row r="219" spans="1:6" x14ac:dyDescent="0.45">
      <c r="A219" t="s">
        <v>117</v>
      </c>
      <c r="B219" s="366"/>
      <c r="C219" t="s">
        <v>483</v>
      </c>
    </row>
    <row r="220" spans="1:6" x14ac:dyDescent="0.45">
      <c r="A220" t="s">
        <v>118</v>
      </c>
      <c r="B220" s="366" t="s">
        <v>619</v>
      </c>
      <c r="C220" t="s">
        <v>483</v>
      </c>
    </row>
    <row r="221" spans="1:6" x14ac:dyDescent="0.45">
      <c r="A221" t="s">
        <v>119</v>
      </c>
      <c r="B221" s="366" t="s">
        <v>619</v>
      </c>
      <c r="C221" t="s">
        <v>483</v>
      </c>
    </row>
    <row r="222" spans="1:6" x14ac:dyDescent="0.45">
      <c r="A222" t="s">
        <v>120</v>
      </c>
      <c r="B222" s="366"/>
      <c r="C222" t="s">
        <v>175</v>
      </c>
      <c r="F222" t="str">
        <f>IF(B222="", "", "（"&amp;B222&amp;"）")</f>
        <v/>
      </c>
    </row>
    <row r="223" spans="1:6" x14ac:dyDescent="0.45">
      <c r="A223" t="s">
        <v>269</v>
      </c>
      <c r="B223" s="378" t="s">
        <v>624</v>
      </c>
      <c r="C223" t="s">
        <v>98</v>
      </c>
    </row>
    <row r="224" spans="1:6" x14ac:dyDescent="0.45">
      <c r="A224" t="s">
        <v>270</v>
      </c>
      <c r="B224" s="379">
        <v>9</v>
      </c>
      <c r="C224" t="s">
        <v>98</v>
      </c>
    </row>
    <row r="225" spans="1:3" x14ac:dyDescent="0.45">
      <c r="A225" t="s">
        <v>271</v>
      </c>
      <c r="B225" s="378" t="s">
        <v>640</v>
      </c>
      <c r="C225" t="s">
        <v>98</v>
      </c>
    </row>
    <row r="226" spans="1:3" x14ac:dyDescent="0.45">
      <c r="A226" t="s">
        <v>172</v>
      </c>
      <c r="B226" s="380" t="s">
        <v>626</v>
      </c>
      <c r="C226" t="s">
        <v>98</v>
      </c>
    </row>
    <row r="227" spans="1:3" x14ac:dyDescent="0.45">
      <c r="A227" t="str">
        <f>IF(B226="","↓",IF(B226="いいえ","↓","謝礼金１の支出内容（例：防災講習会講師謝礼)"))</f>
        <v>謝礼金１の支出内容（例：防災講習会講師謝礼)</v>
      </c>
      <c r="B227" s="381" t="s">
        <v>642</v>
      </c>
      <c r="C227" t="str">
        <f>IF(B228*IF(B229="一式",1,B229)&gt;50000, "見積書等の添付が必要です", "")</f>
        <v/>
      </c>
    </row>
    <row r="228" spans="1:3" x14ac:dyDescent="0.45">
      <c r="A228" t="str">
        <f>IF(B226="","↓",IF(B226="いいえ","↓","謝礼金１の単価（税込）（数字のみ記入）"))</f>
        <v>謝礼金１の単価（税込）（数字のみ記入）</v>
      </c>
      <c r="B228" s="381">
        <v>20000</v>
      </c>
    </row>
    <row r="229" spans="1:3" x14ac:dyDescent="0.45">
      <c r="A229" t="str">
        <f>IF(B226="","↓",IF(B226="いいえ","↓","謝礼金１の数量（数字のみ記入）"))</f>
        <v>謝礼金１の数量（数字のみ記入）</v>
      </c>
      <c r="B229" s="381">
        <v>2</v>
      </c>
      <c r="C229" t="s">
        <v>549</v>
      </c>
    </row>
    <row r="230" spans="1:3" x14ac:dyDescent="0.45">
      <c r="A230" t="str">
        <f>IF(B226="","↓",IF(B226="いいえ","↓",IF(B227="","↓","謝礼金２の支出内容")))</f>
        <v>謝礼金２の支出内容</v>
      </c>
      <c r="B230" s="381"/>
      <c r="C230" t="str">
        <f>IF(B231*IF(B232="一式",1,B232)&gt;50000, "見積書等の添付が必要です", "")</f>
        <v/>
      </c>
    </row>
    <row r="231" spans="1:3" x14ac:dyDescent="0.45">
      <c r="A231" t="str">
        <f>IF(B226="","↓",IF(B226="いいえ","↓",IF(B227="","↓","謝礼金２の単価（税込）（数字のみ記入）")))</f>
        <v>謝礼金２の単価（税込）（数字のみ記入）</v>
      </c>
      <c r="B231" s="381"/>
    </row>
    <row r="232" spans="1:3" x14ac:dyDescent="0.45">
      <c r="A232" t="str">
        <f>IF(B226="","↓",IF(B226="いいえ","↓",IF(B227="","↓","謝礼金２の数量（数字のみ記入）")))</f>
        <v>謝礼金２の数量（数字のみ記入）</v>
      </c>
      <c r="B232" s="381"/>
      <c r="C232" t="s">
        <v>549</v>
      </c>
    </row>
    <row r="233" spans="1:3" x14ac:dyDescent="0.45">
      <c r="A233" t="str">
        <f>IF(B226="","↓",IF(B226="いいえ","↓",IF(B230="","↓","謝礼金３の支出内容")))</f>
        <v>↓</v>
      </c>
      <c r="B233" s="381"/>
      <c r="C233" t="str">
        <f>IF(B234*IF(B235="一式",1,B235)&gt;50000, "見積書等の添付が必要です", "")</f>
        <v/>
      </c>
    </row>
    <row r="234" spans="1:3" x14ac:dyDescent="0.45">
      <c r="A234" t="str">
        <f>IF(B226="","↓",IF(B226="いいえ","↓",IF(B230="","↓","謝礼金３の単価（税込）（数字のみ記入）")))</f>
        <v>↓</v>
      </c>
      <c r="B234" s="381"/>
    </row>
    <row r="235" spans="1:3" x14ac:dyDescent="0.45">
      <c r="A235" t="str">
        <f>IF(B226="","↓",IF(B226="いいえ","↓",IF(B230="","↓","謝礼金３の数量（数字のみ記入）")))</f>
        <v>↓</v>
      </c>
      <c r="B235" s="381"/>
      <c r="C235" t="s">
        <v>549</v>
      </c>
    </row>
    <row r="236" spans="1:3" x14ac:dyDescent="0.45">
      <c r="A236" t="str">
        <f>IF(B226="","↓",IF(B226="いいえ","↓",IF(B233="","↓","謝礼金４の支出内容")))</f>
        <v>↓</v>
      </c>
      <c r="B236" s="381"/>
      <c r="C236" t="str">
        <f>IF(B237*IF(B238="一式",1,B238)&gt;50000, "見積書等の添付が必要です", "")</f>
        <v/>
      </c>
    </row>
    <row r="237" spans="1:3" x14ac:dyDescent="0.45">
      <c r="A237" t="str">
        <f>IF(B226="","↓",IF(B226="いいえ","↓",IF(B233="","↓","謝礼金４の単価（税込）（数字のみ記入）")))</f>
        <v>↓</v>
      </c>
      <c r="B237" s="381"/>
    </row>
    <row r="238" spans="1:3" x14ac:dyDescent="0.45">
      <c r="A238" t="str">
        <f>IF(B226="","↓",IF(B226="いいえ","↓",IF(B233="","↓","謝礼金４の数量（数字のみ記入）")))</f>
        <v>↓</v>
      </c>
      <c r="B238" s="381"/>
      <c r="C238" t="s">
        <v>549</v>
      </c>
    </row>
    <row r="239" spans="1:3" x14ac:dyDescent="0.45">
      <c r="A239" t="s">
        <v>173</v>
      </c>
      <c r="B239" s="380" t="s">
        <v>625</v>
      </c>
      <c r="C239" t="s">
        <v>98</v>
      </c>
    </row>
    <row r="240" spans="1:3" x14ac:dyDescent="0.45">
      <c r="A240" s="16" t="str">
        <f>IF(B239="","↓",IF(B239="いいえ","↓","打合せ経費１の支出内容（例：打合せ参加者用お茶（500mlペットボトル）)"))</f>
        <v>↓</v>
      </c>
      <c r="B240" s="381"/>
      <c r="C240" t="str">
        <f>IF(B241*IF(B242="一式",1,B242)&gt;50000, "見積書等の添付が必要です", "")</f>
        <v/>
      </c>
    </row>
    <row r="241" spans="1:3" x14ac:dyDescent="0.45">
      <c r="A241" t="str">
        <f>IF(B239="","↓",IF(B239="いいえ","↓","打合せ経費１の単価（税込）（数字のみ記入）"))</f>
        <v>↓</v>
      </c>
      <c r="B241" s="381"/>
    </row>
    <row r="242" spans="1:3" x14ac:dyDescent="0.45">
      <c r="A242" t="str">
        <f>IF(B239="","↓",IF(B239="いいえ","↓","打合せ経費１の数量（数字のみ記入）"))</f>
        <v>↓</v>
      </c>
      <c r="B242" s="381"/>
      <c r="C242" t="s">
        <v>549</v>
      </c>
    </row>
    <row r="243" spans="1:3" x14ac:dyDescent="0.45">
      <c r="A243" t="str">
        <f>IF(B239="","↓",IF(B239="いいえ","↓",IF(B240="","↓","打合せ経費２の支出内容")))</f>
        <v>↓</v>
      </c>
      <c r="B243" s="381"/>
      <c r="C243" t="str">
        <f>IF(B244*IF(B245="一式",1,B245)&gt;50000, "見積書等の添付が必要です", "")</f>
        <v/>
      </c>
    </row>
    <row r="244" spans="1:3" x14ac:dyDescent="0.45">
      <c r="A244" t="str">
        <f>IF(B239="","↓",IF(B239="いいえ","↓",IF(B240="","↓","打合せ経費２の単価（税込）（数字のみ記入）")))</f>
        <v>↓</v>
      </c>
      <c r="B244" s="381"/>
    </row>
    <row r="245" spans="1:3" x14ac:dyDescent="0.45">
      <c r="A245" t="str">
        <f>IF(B239="","↓",IF(B239="いいえ","↓",IF(B240="","↓","打合せ経費２の数量（数字のみ記入）")))</f>
        <v>↓</v>
      </c>
      <c r="B245" s="381"/>
      <c r="C245" t="s">
        <v>549</v>
      </c>
    </row>
    <row r="246" spans="1:3" x14ac:dyDescent="0.45">
      <c r="A246" t="str">
        <f>IF(B239="","↓",IF(B239="いいえ","↓",IF(B243="", "↓","打合せ経費３の支出内容")))</f>
        <v>↓</v>
      </c>
      <c r="B246" s="381"/>
      <c r="C246" t="str">
        <f>IF(B247*IF(B248="一式",1,B248)&gt;50000, "見積書等の添付が必要です", "")</f>
        <v/>
      </c>
    </row>
    <row r="247" spans="1:3" x14ac:dyDescent="0.45">
      <c r="A247" t="str">
        <f>IF(B239="","↓",IF(B239="いいえ","↓",IF(B243="", "↓","打合せ経費３の単価（税込）（数字のみ記入）")))</f>
        <v>↓</v>
      </c>
      <c r="B247" s="381"/>
    </row>
    <row r="248" spans="1:3" x14ac:dyDescent="0.45">
      <c r="A248" t="str">
        <f>IF(B239="","↓",IF(B239="いいえ","↓",IF(B243="","↓","打合せ経費３の数量（数字のみ記入）")))</f>
        <v>↓</v>
      </c>
      <c r="B248" s="381"/>
      <c r="C248" t="s">
        <v>549</v>
      </c>
    </row>
    <row r="249" spans="1:3" x14ac:dyDescent="0.45">
      <c r="A249" t="str">
        <f>IF(B239="","↓",IF(B239="いいえ","↓",IF(B246="","↓","打合せ経費４の支出内容")))</f>
        <v>↓</v>
      </c>
      <c r="B249" s="381"/>
      <c r="C249" t="str">
        <f>IF(B250*IF(B251="一式",1,B251)&gt;50000, "見積書等の添付が必要です", "")</f>
        <v/>
      </c>
    </row>
    <row r="250" spans="1:3" x14ac:dyDescent="0.45">
      <c r="A250" t="str">
        <f>IF(B239="","↓",IF(B239="いいえ","↓",IF(B246="", "↓","打合せ経費４の単価（税込）（数字のみ記入）")))</f>
        <v>↓</v>
      </c>
      <c r="B250" s="381"/>
    </row>
    <row r="251" spans="1:3" x14ac:dyDescent="0.45">
      <c r="A251" t="str">
        <f>IF(B239="","↓",IF(B239="いいえ","↓",IF(B246="","↓","打合せ経費４の数量（数字のみ記入）")))</f>
        <v>↓</v>
      </c>
      <c r="B251" s="381"/>
      <c r="C251" t="s">
        <v>549</v>
      </c>
    </row>
    <row r="252" spans="1:3" x14ac:dyDescent="0.45">
      <c r="A252" t="s">
        <v>174</v>
      </c>
      <c r="B252" s="380" t="s">
        <v>626</v>
      </c>
      <c r="C252" t="s">
        <v>98</v>
      </c>
    </row>
    <row r="253" spans="1:3" ht="36" x14ac:dyDescent="0.45">
      <c r="A253" s="118" t="str">
        <f>IF(B252="","↓",IF(B252="いいえ","↓","物品購入費１の支出内容（例：模擬店用食材（焼きそば・フランクフルト・かき氷）)"))</f>
        <v>物品購入費１の支出内容（例：模擬店用食材（焼きそば・フランクフルト・かき氷）)</v>
      </c>
      <c r="B253" s="381" t="s">
        <v>644</v>
      </c>
      <c r="C253" t="str">
        <f>IF(B254*IF(B255="一式",1,B255)&gt;50000, "見積書等の添付が必要です（複数の項目をまとめて一式と記載して5万円を超えている場合は支出内容に内訳を記載してください）", "")</f>
        <v/>
      </c>
    </row>
    <row r="254" spans="1:3" x14ac:dyDescent="0.45">
      <c r="A254" t="str">
        <f>IF(B252="","↓",IF(B252="いいえ","↓","物品購入費１の単価（税込）（数字のみ記入）"))</f>
        <v>物品購入費１の単価（税込）（数字のみ記入）</v>
      </c>
      <c r="B254" s="381">
        <v>40000</v>
      </c>
    </row>
    <row r="255" spans="1:3" x14ac:dyDescent="0.45">
      <c r="A255" t="str">
        <f>IF(B252="","↓",IF(B252="いいえ","↓","物品購入費１の数量（数字のみ記入）"))</f>
        <v>物品購入費１の数量（数字のみ記入）</v>
      </c>
      <c r="B255" s="381">
        <v>1</v>
      </c>
      <c r="C255" t="s">
        <v>549</v>
      </c>
    </row>
    <row r="256" spans="1:3" x14ac:dyDescent="0.45">
      <c r="A256" t="str">
        <f>IF(B252="","↓",IF(B252="いいえ","↓",IF(B253="","↓","物品購入費２の支出内容")))</f>
        <v>物品購入費２の支出内容</v>
      </c>
      <c r="B256" s="381" t="s">
        <v>641</v>
      </c>
      <c r="C256" t="str">
        <f>IF(B257*IF(B258="一式",1,B258)&gt;50000, "見積書等の添付が必要です（複数の項目をまとめて一式と記載して5万円を超えている場合は支出内容に内訳を記載してください）", "")</f>
        <v/>
      </c>
    </row>
    <row r="257" spans="1:3" x14ac:dyDescent="0.45">
      <c r="A257" t="str">
        <f>IF(B252="","↓",IF(B252="いいえ","↓",IF(B253="","↓","物品購入費２の単価（税込）（数字のみ記入）")))</f>
        <v>物品購入費２の単価（税込）（数字のみ記入）</v>
      </c>
      <c r="B257" s="381">
        <v>45000</v>
      </c>
    </row>
    <row r="258" spans="1:3" x14ac:dyDescent="0.45">
      <c r="A258" t="str">
        <f>IF(B252="","↓",IF(B252="いいえ","↓",IF(B253="","↓","物品購入費２の数量（数字のみ記入）")))</f>
        <v>物品購入費２の数量（数字のみ記入）</v>
      </c>
      <c r="B258" s="381">
        <v>1</v>
      </c>
      <c r="C258" t="s">
        <v>549</v>
      </c>
    </row>
    <row r="259" spans="1:3" x14ac:dyDescent="0.45">
      <c r="A259" t="str">
        <f>IF(B252="","↓",IF(B252="いいえ","↓",IF(B256="","↓","物品購入費３の支出内容")))</f>
        <v>物品購入費３の支出内容</v>
      </c>
      <c r="B259" s="381" t="s">
        <v>646</v>
      </c>
      <c r="C259" t="str">
        <f>IF(B260*IF(B261="一式",1,B261)&gt;50000, "見積書等の添付が必要です（複数の項目をまとめて一式と記載して5万円を超えている場合は支出内容に内訳を記載してください）", "")</f>
        <v>見積書等の添付が必要です（複数の項目をまとめて一式と記載して5万円を超えている場合は支出内容に内訳を記載してください）</v>
      </c>
    </row>
    <row r="260" spans="1:3" x14ac:dyDescent="0.45">
      <c r="A260" t="str">
        <f>IF(B252="","↓",IF(B252="いいえ","↓",IF(B256="", "↓","物品購入費３の単価（税込）（数字のみ記入）")))</f>
        <v>物品購入費３の単価（税込）（数字のみ記入）</v>
      </c>
      <c r="B260" s="381">
        <v>100000</v>
      </c>
    </row>
    <row r="261" spans="1:3" x14ac:dyDescent="0.45">
      <c r="A261" t="str">
        <f>IF(B252="","↓",IF(B252="いいえ","↓",IF(B256="","↓","物品購入費３の数量（数字のみ記入）")))</f>
        <v>物品購入費３の数量（数字のみ記入）</v>
      </c>
      <c r="B261" s="381">
        <v>1</v>
      </c>
      <c r="C261" t="s">
        <v>549</v>
      </c>
    </row>
    <row r="262" spans="1:3" x14ac:dyDescent="0.45">
      <c r="A262" t="str">
        <f>IF(B252="","↓",IF(B252="いいえ","↓",IF(B259="","↓","物品購入費４の支出内容")))</f>
        <v>物品購入費４の支出内容</v>
      </c>
      <c r="B262" s="381"/>
      <c r="C262" t="str">
        <f>IF(B263*IF(B264="一式",1,B264)&gt;50000, "見積書等の添付が必要です（複数の項目をまとめて一式と記載して5万円を超えている場合は支出内容に内訳を記載してください）", "")</f>
        <v/>
      </c>
    </row>
    <row r="263" spans="1:3" x14ac:dyDescent="0.45">
      <c r="A263" t="str">
        <f>IF(B252="","↓",IF(B252="いいえ","↓",IF(B259="","↓","物品購入費４の単価（税込）（数字のみ記入）")))</f>
        <v>物品購入費４の単価（税込）（数字のみ記入）</v>
      </c>
      <c r="B263" s="381"/>
    </row>
    <row r="264" spans="1:3" x14ac:dyDescent="0.45">
      <c r="A264" t="str">
        <f>IF(B252="","↓",IF(B252="いいえ","↓",IF(B259="","↓","物品購入費４の数量（数字のみ記入）")))</f>
        <v>物品購入費４の数量（数字のみ記入）</v>
      </c>
      <c r="B264" s="381"/>
      <c r="C264" t="s">
        <v>549</v>
      </c>
    </row>
    <row r="265" spans="1:3" x14ac:dyDescent="0.45">
      <c r="A265" t="str">
        <f>IF(B252="","↓",IF(B252="いいえ","↓",IF(B262="","↓","物品購入費５の支出内容")))</f>
        <v>↓</v>
      </c>
      <c r="B265" s="381"/>
      <c r="C265" t="str">
        <f>IF(B266*IF(B267="一式",1,B267)&gt;50000, "見積書等の添付が必要です（複数の項目をまとめて一式と記載して5万円を超えている場合は支出内容に内訳を記載してください）", "")</f>
        <v/>
      </c>
    </row>
    <row r="266" spans="1:3" x14ac:dyDescent="0.45">
      <c r="A266" t="str">
        <f>IF(B252="","↓",IF(B252="いいえ","↓",IF(B262="","↓","物品購入費５の単価（税込）（数字のみ記入）")))</f>
        <v>↓</v>
      </c>
      <c r="B266" s="381"/>
    </row>
    <row r="267" spans="1:3" x14ac:dyDescent="0.45">
      <c r="A267" t="str">
        <f>IF(B252="","↓",IF(B252="いいえ","↓",IF(B262="","↓","物品購入費５の数量（数字のみ記入）")))</f>
        <v>↓</v>
      </c>
      <c r="B267" s="381"/>
      <c r="C267" t="s">
        <v>549</v>
      </c>
    </row>
    <row r="268" spans="1:3" x14ac:dyDescent="0.45">
      <c r="A268" t="str">
        <f>IF(B252="","↓",IF(B252="いいえ","↓",IF(B265="","↓","物品購入費６の支出内容")))</f>
        <v>↓</v>
      </c>
      <c r="B268" s="381"/>
      <c r="C268" t="str">
        <f>IF(B269*IF(B270="一式",1,B270)&gt;50000, "見積書等の添付が必要です（複数の項目をまとめて一式と記載して5万円を超えている場合は支出内容に内訳を記載してください）", "")</f>
        <v/>
      </c>
    </row>
    <row r="269" spans="1:3" x14ac:dyDescent="0.45">
      <c r="A269" t="str">
        <f>IF(B252="","↓",IF(B252="いいえ","↓",IF(B265="","↓","物品購入費６の単価（税込）（数字のみ記入）")))</f>
        <v>↓</v>
      </c>
      <c r="B269" s="381"/>
    </row>
    <row r="270" spans="1:3" x14ac:dyDescent="0.45">
      <c r="A270" t="str">
        <f>IF(B252="","↓",IF(B252="いいえ","↓",IF(B265="","↓","物品購入費６の数量（数字のみ記入）")))</f>
        <v>↓</v>
      </c>
      <c r="B270" s="381"/>
      <c r="C270" t="s">
        <v>549</v>
      </c>
    </row>
    <row r="271" spans="1:3" x14ac:dyDescent="0.45">
      <c r="A271" t="str">
        <f>IF(B252="","↓",IF(B252="いいえ","↓",IF(B268="","↓","物品購入費７の支出内容")))</f>
        <v>↓</v>
      </c>
      <c r="B271" s="381"/>
      <c r="C271" t="str">
        <f>IF(B272*IF(B273="一式",1,B273)&gt;50000, "見積書等の添付が必要です（複数の項目をまとめて一式と記載して5万円を超えている場合は支出内容に内訳を記載してください）", "")</f>
        <v/>
      </c>
    </row>
    <row r="272" spans="1:3" x14ac:dyDescent="0.45">
      <c r="A272" t="str">
        <f>IF(B252="","↓",IF(B252="いいえ","↓",IF(B268="","↓","物品購入費７の単価（税込）（数字のみ記入）")))</f>
        <v>↓</v>
      </c>
      <c r="B272" s="381"/>
    </row>
    <row r="273" spans="1:3" x14ac:dyDescent="0.45">
      <c r="A273" t="str">
        <f>IF(B252="","↓",IF(B252="いいえ","↓",IF(B268="","↓","物品購入費７の数量（数字のみ記入）")))</f>
        <v>↓</v>
      </c>
      <c r="B273" s="381"/>
      <c r="C273" t="s">
        <v>549</v>
      </c>
    </row>
    <row r="274" spans="1:3" x14ac:dyDescent="0.45">
      <c r="A274" t="str">
        <f>IF(B252="","↓",IF(B252="いいえ","↓",IF(B271="","↓","物品購入費８の支出内容")))</f>
        <v>↓</v>
      </c>
      <c r="B274" s="381"/>
      <c r="C274" t="str">
        <f>IF(B275*IF(B276="一式",1,B276)&gt;50000, "見積書等の添付が必要です（複数の項目をまとめて一式と記載して5万円を超えている場合は支出内容に内訳を記載してください）", "")</f>
        <v/>
      </c>
    </row>
    <row r="275" spans="1:3" x14ac:dyDescent="0.45">
      <c r="A275" t="str">
        <f>IF(B252="","↓",IF(B252="いいえ","↓",IF(B271="","↓","物品購入費８の単価（税込）（数字のみ記入）")))</f>
        <v>↓</v>
      </c>
      <c r="B275" s="381"/>
    </row>
    <row r="276" spans="1:3" x14ac:dyDescent="0.45">
      <c r="A276" t="str">
        <f>IF(B252="","↓",IF(B252="いいえ","↓",IF(B271="","↓","物品購入費８の数量（数字のみ記入）")))</f>
        <v>↓</v>
      </c>
      <c r="B276" s="381"/>
      <c r="C276" t="s">
        <v>549</v>
      </c>
    </row>
    <row r="277" spans="1:3" x14ac:dyDescent="0.45">
      <c r="A277" t="str">
        <f>IF(B252="","↓",IF(B252="いいえ","↓",IF(B274="","↓","物品購入費９の支出内容")))</f>
        <v>↓</v>
      </c>
      <c r="B277" s="381"/>
      <c r="C277" t="str">
        <f>IF(B278*IF(B279="一式",1,B279)&gt;50000, "見積書等の添付が必要です（複数の項目をまとめて一式と記載して5万円を超えている場合は支出内容に内訳を記載してください）", "")</f>
        <v/>
      </c>
    </row>
    <row r="278" spans="1:3" x14ac:dyDescent="0.45">
      <c r="A278" t="str">
        <f>IF(B252="","↓",IF(B252="いいえ","↓",IF(B274="","↓","物品購入費９の単価（税込）（数字のみ記入）")))</f>
        <v>↓</v>
      </c>
      <c r="B278" s="381"/>
    </row>
    <row r="279" spans="1:3" x14ac:dyDescent="0.45">
      <c r="A279" t="str">
        <f>IF(B252="","↓",IF(B252="いいえ","↓",IF(B274="","↓","物品購入費９の数量（数字のみ記入）")))</f>
        <v>↓</v>
      </c>
      <c r="B279" s="381"/>
      <c r="C279" t="s">
        <v>549</v>
      </c>
    </row>
    <row r="280" spans="1:3" x14ac:dyDescent="0.45">
      <c r="A280" t="str">
        <f>IF(B252="","↓",IF(B252="いいえ","↓",IF(B277="","↓","物品購入費10の支出内容")))</f>
        <v>↓</v>
      </c>
      <c r="B280" s="381"/>
      <c r="C280" t="str">
        <f>IF(B281*IF(B282="一式",1,B282)&gt;50000, "見積書等の添付が必要です（複数の項目をまとめて一式と記載して5万円を超えている場合は支出内容に内訳を記載してください）", "")</f>
        <v/>
      </c>
    </row>
    <row r="281" spans="1:3" x14ac:dyDescent="0.45">
      <c r="A281" t="str">
        <f>IF(B252="","↓",IF(B252="いいえ","↓",IF(B277="","↓","物品購入費10の単価（税込）（数字のみ記入）")))</f>
        <v>↓</v>
      </c>
      <c r="B281" s="381"/>
    </row>
    <row r="282" spans="1:3" x14ac:dyDescent="0.45">
      <c r="A282" t="str">
        <f>IF(B252="","↓",IF(B252="いいえ","↓",IF(B277="","↓","物品購入費10の数量（数字のみ記入）")))</f>
        <v>↓</v>
      </c>
      <c r="B282" s="381"/>
      <c r="C282" t="s">
        <v>549</v>
      </c>
    </row>
    <row r="283" spans="1:3" x14ac:dyDescent="0.45">
      <c r="A283" t="str">
        <f>IF(B252="","↓",IF(B252="いいえ","↓",IF(B280="","↓","物品購入費11の支出内容")))</f>
        <v>↓</v>
      </c>
      <c r="B283" s="381"/>
      <c r="C283" t="str">
        <f>IF(B284*IF(B285="一式",1,B285)&gt;50000, "見積書等の添付が必要です（複数の項目をまとめて一式と記載して5万円を超えている場合は支出内容に内訳を記載してください）", "")</f>
        <v/>
      </c>
    </row>
    <row r="284" spans="1:3" x14ac:dyDescent="0.45">
      <c r="A284" t="str">
        <f>IF(B252="","↓",IF(B252="いいえ","↓",IF(B280="","↓","物品購入費11の単価（税込）（数字のみ記入）")))</f>
        <v>↓</v>
      </c>
      <c r="B284" s="381"/>
    </row>
    <row r="285" spans="1:3" x14ac:dyDescent="0.45">
      <c r="A285" t="str">
        <f>IF(B252="","↓",IF(B252="いいえ","↓",IF(B280="","↓","物品購入費11の数量（数字のみ記入）")))</f>
        <v>↓</v>
      </c>
      <c r="B285" s="381"/>
      <c r="C285" t="s">
        <v>549</v>
      </c>
    </row>
    <row r="286" spans="1:3" x14ac:dyDescent="0.45">
      <c r="A286" t="str">
        <f>IF(B252="","↓",IF(B252="いいえ","↓",IF(B283="","↓","物品購入費12の支出内容")))</f>
        <v>↓</v>
      </c>
      <c r="B286" s="381"/>
      <c r="C286" t="str">
        <f>IF(B287*IF(B288="一式",1,B288)&gt;50000, "見積書等の添付が必要です（複数の項目をまとめて一式と記載して5万円を超えている場合は支出内容に内訳を記載してください）", "")</f>
        <v/>
      </c>
    </row>
    <row r="287" spans="1:3" x14ac:dyDescent="0.45">
      <c r="A287" t="str">
        <f>IF(B252="","↓",IF(B252="いいえ","↓",IF(B283="","↓","物品購入費12の単価（税込）（数字のみ記入）")))</f>
        <v>↓</v>
      </c>
      <c r="B287" s="381"/>
    </row>
    <row r="288" spans="1:3" x14ac:dyDescent="0.45">
      <c r="A288" t="str">
        <f>IF(B252="","↓",IF(B252="いいえ","↓",IF(B283="","↓","物品購入費12の数量（数字のみ記入）")))</f>
        <v>↓</v>
      </c>
      <c r="B288" s="381"/>
      <c r="C288" t="s">
        <v>549</v>
      </c>
    </row>
    <row r="289" spans="1:3" x14ac:dyDescent="0.45">
      <c r="A289" t="str">
        <f>IF(B252="","↓",IF(B252="いいえ","↓",IF(B286="","↓","物品購入費13の支出内容")))</f>
        <v>↓</v>
      </c>
      <c r="B289" s="381"/>
      <c r="C289" t="str">
        <f>IF(B290*IF(B291="一式",1,B291)&gt;50000, "見積書等の添付が必要です（複数の項目をまとめて一式と記載して5万円を超えている場合は支出内容に内訳を記載してください）", "")</f>
        <v/>
      </c>
    </row>
    <row r="290" spans="1:3" x14ac:dyDescent="0.45">
      <c r="A290" t="str">
        <f>IF(B252="","↓",IF(B252="いいえ","↓",IF(B286="","↓","物品購入費13の単価（税込）（数字のみ記入）")))</f>
        <v>↓</v>
      </c>
      <c r="B290" s="381"/>
    </row>
    <row r="291" spans="1:3" x14ac:dyDescent="0.45">
      <c r="A291" t="str">
        <f>IF(B252="","↓",IF(B252="いいえ","↓",IF(B286="","↓","物品購入費13の数量（数字のみ記入）")))</f>
        <v>↓</v>
      </c>
      <c r="B291" s="381"/>
      <c r="C291" t="s">
        <v>549</v>
      </c>
    </row>
    <row r="292" spans="1:3" x14ac:dyDescent="0.45">
      <c r="A292" t="str">
        <f>IF(B252="","↓",IF(B252="いいえ","↓",IF(B289="","↓","物品購入費14の支出内容")))</f>
        <v>↓</v>
      </c>
      <c r="B292" s="381"/>
      <c r="C292" t="str">
        <f>IF(B293*IF(B294="一式",1,B294)&gt;50000, "見積書等の添付が必要です（複数の項目をまとめて一式と記載して5万円を超えている場合は支出内容に内訳を記載してください）", "")</f>
        <v/>
      </c>
    </row>
    <row r="293" spans="1:3" x14ac:dyDescent="0.45">
      <c r="A293" t="str">
        <f>IF(B252="","↓",IF(B252="いいえ","↓",IF(B289="","↓","物品購入費14の単価（税込）（数字のみ記入）")))</f>
        <v>↓</v>
      </c>
      <c r="B293" s="381"/>
    </row>
    <row r="294" spans="1:3" x14ac:dyDescent="0.45">
      <c r="A294" t="str">
        <f>IF(B252="","↓",IF(B252="いいえ","↓",IF(B289="","↓","物品購入費14の数量（数字のみ記入）")))</f>
        <v>↓</v>
      </c>
      <c r="B294" s="381"/>
      <c r="C294" t="s">
        <v>549</v>
      </c>
    </row>
    <row r="295" spans="1:3" x14ac:dyDescent="0.45">
      <c r="A295" t="str">
        <f>IF(B252="","↓",IF(B252="いいえ","↓",IF(B292="","↓","物品購入費15の支出内容")))</f>
        <v>↓</v>
      </c>
      <c r="B295" s="381"/>
      <c r="C295" t="str">
        <f>IF(B296*IF(B297="一式",1,B297)&gt;50000, "見積書等の添付が必要です（複数の項目をまとめて一式と記載して5万円を超えている場合は支出内容に内訳を記載してください）", "")</f>
        <v/>
      </c>
    </row>
    <row r="296" spans="1:3" x14ac:dyDescent="0.45">
      <c r="A296" t="str">
        <f>IF(B252="","↓",IF(B252="いいえ","↓",IF(B292="","↓","物品購入費15の単価（税込）（数字のみ記入）")))</f>
        <v>↓</v>
      </c>
      <c r="B296" s="381"/>
    </row>
    <row r="297" spans="1:3" x14ac:dyDescent="0.45">
      <c r="A297" t="str">
        <f>IF(B252="","↓",IF(B252="いいえ","↓",IF(B292="","↓","物品購入費15の数量（数字のみ記入）")))</f>
        <v>↓</v>
      </c>
      <c r="B297" s="381"/>
      <c r="C297" t="s">
        <v>549</v>
      </c>
    </row>
    <row r="298" spans="1:3" x14ac:dyDescent="0.45">
      <c r="A298" t="str">
        <f>IF(B252="","↓",IF(B252="いいえ","↓",IF(B295="","↓","物品購入費16の支出内容")))</f>
        <v>↓</v>
      </c>
      <c r="B298" s="381"/>
      <c r="C298" t="str">
        <f>IF(B299*IF(B300="一式",1,B300)&gt;50000, "見積書等の添付が必要です（複数の項目をまとめて一式と記載して5万円を超えている場合は支出内容に内訳を記載してください）", "")</f>
        <v/>
      </c>
    </row>
    <row r="299" spans="1:3" x14ac:dyDescent="0.45">
      <c r="A299" t="str">
        <f>IF(B252="","↓",IF(B252="いいえ","↓",IF(B295="","↓","物品購入費16の単価（税込）（数字のみ記入）")))</f>
        <v>↓</v>
      </c>
      <c r="B299" s="381"/>
    </row>
    <row r="300" spans="1:3" x14ac:dyDescent="0.45">
      <c r="A300" t="str">
        <f>IF(B252="","↓",IF(B252="いいえ","↓",IF(B295="","↓","物品購入費16の数量（数字のみ記入）")))</f>
        <v>↓</v>
      </c>
      <c r="B300" s="381"/>
      <c r="C300" t="s">
        <v>549</v>
      </c>
    </row>
    <row r="301" spans="1:3" x14ac:dyDescent="0.45">
      <c r="A301" t="str">
        <f>IF(B252="","↓",IF(B252="いいえ","↓",IF(B298="","↓","物品購入費17の支出内容")))</f>
        <v>↓</v>
      </c>
      <c r="B301" s="381"/>
      <c r="C301" t="str">
        <f>IF(B302*IF(B303="一式",1,B303)&gt;50000, "見積書等の添付が必要です（複数の項目をまとめて一式と記載して5万円を超えている場合は支出内容に内訳を記載してください）", "")</f>
        <v/>
      </c>
    </row>
    <row r="302" spans="1:3" x14ac:dyDescent="0.45">
      <c r="A302" t="str">
        <f>IF(B252="","↓",IF(B252="いいえ","↓",IF(B298="","↓","物品購入費17の単価（税込）（数字のみ記入）")))</f>
        <v>↓</v>
      </c>
      <c r="B302" s="381"/>
    </row>
    <row r="303" spans="1:3" x14ac:dyDescent="0.45">
      <c r="A303" t="str">
        <f>IF(B252="","↓",IF(B252="いいえ","↓",IF(B298="","↓","物品購入費17の数量（数字のみ記入）")))</f>
        <v>↓</v>
      </c>
      <c r="B303" s="381"/>
      <c r="C303" t="s">
        <v>549</v>
      </c>
    </row>
    <row r="304" spans="1:3" x14ac:dyDescent="0.45">
      <c r="A304" t="s">
        <v>176</v>
      </c>
      <c r="B304" s="380" t="s">
        <v>625</v>
      </c>
      <c r="C304" t="s">
        <v>98</v>
      </c>
    </row>
    <row r="305" spans="1:3" x14ac:dyDescent="0.45">
      <c r="A305" s="16" t="str">
        <f>IF(B304="","↓",IF(B304="いいえ","↓","印刷経費１の支出内容（例：周知用ポスターの印刷150部)"))</f>
        <v>↓</v>
      </c>
      <c r="B305" s="381"/>
      <c r="C305" t="str">
        <f>IF(B306*IF(B307="一式",1,B307)&gt;50000, "見積書等の添付が必要です", "")</f>
        <v/>
      </c>
    </row>
    <row r="306" spans="1:3" x14ac:dyDescent="0.45">
      <c r="A306" t="str">
        <f>IF(B304="","↓",IF(B304="いいえ","↓","印刷経費１の単価（税込）（数字のみ記入）"))</f>
        <v>↓</v>
      </c>
      <c r="B306" s="381"/>
    </row>
    <row r="307" spans="1:3" x14ac:dyDescent="0.45">
      <c r="A307" t="str">
        <f>IF(B304="","↓",IF(B304="いいえ","↓","印刷経費１の数量（数字のみ記入）"))</f>
        <v>↓</v>
      </c>
      <c r="B307" s="381"/>
      <c r="C307" t="s">
        <v>549</v>
      </c>
    </row>
    <row r="308" spans="1:3" x14ac:dyDescent="0.45">
      <c r="A308" t="str">
        <f>IF(B304="","↓",IF(B304="いいえ","↓",IF(B305="","↓","印刷経費２の支出内容")))</f>
        <v>↓</v>
      </c>
      <c r="B308" s="381"/>
      <c r="C308" t="str">
        <f>IF(B309*IF(B310="一式",1,B310)&gt;50000, "見積書等の添付が必要です", "")</f>
        <v/>
      </c>
    </row>
    <row r="309" spans="1:3" x14ac:dyDescent="0.45">
      <c r="A309" t="str">
        <f>IF(B304="","↓",IF(B304="いいえ","↓",IF(B305="","↓","印刷経費２の単価（税込）（数字のみ記入）")))</f>
        <v>↓</v>
      </c>
      <c r="B309" s="381"/>
    </row>
    <row r="310" spans="1:3" x14ac:dyDescent="0.45">
      <c r="A310" t="str">
        <f>IF(B304="","↓",IF(B304="いいえ","↓",IF(B305="","↓","印刷経費２の数量（数字のみ記入）")))</f>
        <v>↓</v>
      </c>
      <c r="B310" s="381"/>
      <c r="C310" t="s">
        <v>549</v>
      </c>
    </row>
    <row r="311" spans="1:3" x14ac:dyDescent="0.45">
      <c r="A311" t="str">
        <f>IF(B304="","↓",IF(B304="いいえ","↓",IF(B308="","↓","印刷経費３の支出内容")))</f>
        <v>↓</v>
      </c>
      <c r="B311" s="381"/>
      <c r="C311" t="str">
        <f>IF(B312*IF(B313="一式",1,B313)&gt;50000, "見積書等の添付が必要です", "")</f>
        <v/>
      </c>
    </row>
    <row r="312" spans="1:3" x14ac:dyDescent="0.45">
      <c r="A312" t="str">
        <f>IF(B304="","↓",IF(B304="いいえ","↓",IF(B308="","↓","印刷経費３の単価（税込）（数字のみ記入）")))</f>
        <v>↓</v>
      </c>
      <c r="B312" s="381"/>
    </row>
    <row r="313" spans="1:3" x14ac:dyDescent="0.45">
      <c r="A313" t="str">
        <f>IF(B304="","↓",IF(B304="いいえ","↓",IF(B308="","↓","印刷経費３の数量（数字のみ記入）")))</f>
        <v>↓</v>
      </c>
      <c r="B313" s="381"/>
      <c r="C313" t="s">
        <v>549</v>
      </c>
    </row>
    <row r="314" spans="1:3" x14ac:dyDescent="0.45">
      <c r="A314" t="str">
        <f>IF(B304="","↓",IF(B304="いいえ","↓",IF(B311="","↓","印刷経費４の支出内容")))</f>
        <v>↓</v>
      </c>
      <c r="B314" s="381"/>
      <c r="C314" t="str">
        <f>IF(B315*IF(B316="一式",1,B316)&gt;50000, "見積書等の添付が必要です", "")</f>
        <v/>
      </c>
    </row>
    <row r="315" spans="1:3" x14ac:dyDescent="0.45">
      <c r="A315" t="str">
        <f>IF(B304="","↓",IF(B304="いいえ","↓",IF(B311="","↓","印刷経費４の単価（税込）（数字のみ記入）")))</f>
        <v>↓</v>
      </c>
      <c r="B315" s="381"/>
    </row>
    <row r="316" spans="1:3" x14ac:dyDescent="0.45">
      <c r="A316" t="str">
        <f>IF(B304="","↓",IF(B304="いいえ","↓",IF(B311="","↓","印刷経費４の数量（数字のみ記入）")))</f>
        <v>↓</v>
      </c>
      <c r="B316" s="381"/>
      <c r="C316" t="s">
        <v>549</v>
      </c>
    </row>
    <row r="317" spans="1:3" x14ac:dyDescent="0.45">
      <c r="A317" t="s">
        <v>177</v>
      </c>
      <c r="B317" s="380" t="s">
        <v>625</v>
      </c>
      <c r="C317" t="s">
        <v>98</v>
      </c>
    </row>
    <row r="318" spans="1:3" x14ac:dyDescent="0.45">
      <c r="A318" s="16" t="str">
        <f>IF(B317="","↓",IF(B317="いいえ","↓","役務費１の支出内容（例：イベント保険料（200人分）)"))</f>
        <v>↓</v>
      </c>
      <c r="B318" s="381"/>
      <c r="C318" t="str">
        <f>IF(B319*IF(B320="一式",1,B320)&gt;50000, "見積書等の添付が必要です", "")</f>
        <v/>
      </c>
    </row>
    <row r="319" spans="1:3" x14ac:dyDescent="0.45">
      <c r="A319" t="str">
        <f>IF(B317="","↓",IF(B317="いいえ","↓","役務費１の単価（税込）（数字のみ記入）"))</f>
        <v>↓</v>
      </c>
      <c r="B319" s="381"/>
    </row>
    <row r="320" spans="1:3" x14ac:dyDescent="0.45">
      <c r="A320" t="str">
        <f>IF(B317="","↓",IF(B317="いいえ","↓","役務費１の数量（数字のみ記入）"))</f>
        <v>↓</v>
      </c>
      <c r="B320" s="381"/>
      <c r="C320" t="s">
        <v>549</v>
      </c>
    </row>
    <row r="321" spans="1:3" x14ac:dyDescent="0.45">
      <c r="A321" t="str">
        <f>IF(B317="","↓",IF(B317="いいえ","↓",IF(B318="","↓","役務費２の支出内容")))</f>
        <v>↓</v>
      </c>
      <c r="B321" s="381"/>
      <c r="C321" t="str">
        <f>IF(B322*IF(B323="一式",1,B323)&gt;50000, "見積書等の添付が必要です", "")</f>
        <v/>
      </c>
    </row>
    <row r="322" spans="1:3" x14ac:dyDescent="0.45">
      <c r="A322" t="str">
        <f>IF(B317="","↓",IF(B317="いいえ","↓",IF(B318="","↓","役務費２の単価（税込）（数字のみ記入）")))</f>
        <v>↓</v>
      </c>
      <c r="B322" s="381"/>
    </row>
    <row r="323" spans="1:3" x14ac:dyDescent="0.45">
      <c r="A323" t="str">
        <f>IF(B317="","↓",IF(B317="いいえ","↓",IF(B318="","↓","役務費２の数量（数字のみ記入）")))</f>
        <v>↓</v>
      </c>
      <c r="B323" s="381"/>
      <c r="C323" t="s">
        <v>549</v>
      </c>
    </row>
    <row r="324" spans="1:3" x14ac:dyDescent="0.45">
      <c r="A324" t="str">
        <f>IF(B317="","↓",IF(B317="いいえ","↓",IF(B321="","↓","役務費３の支出内容")))</f>
        <v>↓</v>
      </c>
      <c r="B324" s="381"/>
      <c r="C324" t="str">
        <f>IF(B325*IF(B326="一式",1,B326)&gt;50000, "見積書等の添付が必要です", "")</f>
        <v/>
      </c>
    </row>
    <row r="325" spans="1:3" x14ac:dyDescent="0.45">
      <c r="A325" t="str">
        <f>IF(B317="","↓",IF(B317="いいえ","↓",IF(B321="","↓","役務費３の単価（税込）（数字のみ記入）")))</f>
        <v>↓</v>
      </c>
      <c r="B325" s="381"/>
    </row>
    <row r="326" spans="1:3" x14ac:dyDescent="0.45">
      <c r="A326" t="str">
        <f>IF(B317="","↓",IF(B317="いいえ","↓",IF(B321="","↓","役務費３の数量（数字のみ記入）")))</f>
        <v>↓</v>
      </c>
      <c r="B326" s="381"/>
      <c r="C326" t="s">
        <v>549</v>
      </c>
    </row>
    <row r="327" spans="1:3" x14ac:dyDescent="0.45">
      <c r="A327" t="str">
        <f>IF(B317="","↓",IF(B317="いいえ","↓",IF(B324="","↓","役務費４の支出内容")))</f>
        <v>↓</v>
      </c>
      <c r="B327" s="381"/>
      <c r="C327" t="str">
        <f>IF(B328*IF(B329="一式",1,B329)&gt;50000, "見積書等の添付が必要です", "")</f>
        <v/>
      </c>
    </row>
    <row r="328" spans="1:3" x14ac:dyDescent="0.45">
      <c r="A328" t="str">
        <f>IF(B317="","↓",IF(B317="いいえ","↓",IF(B324="","↓","役務費４の単価（税込）（数字のみ記入）")))</f>
        <v>↓</v>
      </c>
      <c r="B328" s="381"/>
    </row>
    <row r="329" spans="1:3" x14ac:dyDescent="0.45">
      <c r="A329" t="str">
        <f>IF(B317="","↓",IF(B317="いいえ","↓",IF(B324="","↓","役務費４の数量（数字のみ記入）")))</f>
        <v>↓</v>
      </c>
      <c r="B329" s="381"/>
      <c r="C329" t="s">
        <v>549</v>
      </c>
    </row>
    <row r="330" spans="1:3" x14ac:dyDescent="0.45">
      <c r="A330" t="s">
        <v>178</v>
      </c>
      <c r="B330" s="380" t="s">
        <v>625</v>
      </c>
      <c r="C330" t="s">
        <v>98</v>
      </c>
    </row>
    <row r="331" spans="1:3" x14ac:dyDescent="0.45">
      <c r="A331" s="16" t="str">
        <f>IF(B330="","↓",IF(B330="いいえ","↓","委託料１の支出内容（例：盆踊り用やぐら設営・撤去）)"))</f>
        <v>↓</v>
      </c>
      <c r="B331" s="381"/>
      <c r="C331" t="str">
        <f>IF(B332*IF(B333="一式",1,B333)&gt;50000, "見積書等の添付が必要です", "")</f>
        <v/>
      </c>
    </row>
    <row r="332" spans="1:3" x14ac:dyDescent="0.45">
      <c r="A332" t="str">
        <f>IF(B330="","↓",IF(B330="いいえ","↓","委託料１の単価（税込）（数字のみ記入）"))</f>
        <v>↓</v>
      </c>
      <c r="B332" s="381"/>
    </row>
    <row r="333" spans="1:3" x14ac:dyDescent="0.45">
      <c r="A333" t="str">
        <f>IF(B330="","↓",IF(B330="いいえ","↓","委託料１の数量（数字のみ記入）"))</f>
        <v>↓</v>
      </c>
      <c r="B333" s="381"/>
      <c r="C333" t="s">
        <v>549</v>
      </c>
    </row>
    <row r="334" spans="1:3" x14ac:dyDescent="0.45">
      <c r="A334" t="str">
        <f>IF(B330="","↓",IF(B330="いいえ","↓",IF(B331="","↓","委託料２の支出内容")))</f>
        <v>↓</v>
      </c>
      <c r="B334" s="381"/>
      <c r="C334" t="str">
        <f>IF(B335*IF(B336="一式",1,B336)&gt;50000, "見積書等の添付が必要です", "")</f>
        <v/>
      </c>
    </row>
    <row r="335" spans="1:3" x14ac:dyDescent="0.45">
      <c r="A335" t="str">
        <f>IF(B330="","↓",IF(B330="いいえ","↓",IF(B331="","↓","委託料２の単価（税込）（数字のみ記入）")))</f>
        <v>↓</v>
      </c>
      <c r="B335" s="381"/>
    </row>
    <row r="336" spans="1:3" x14ac:dyDescent="0.45">
      <c r="A336" t="str">
        <f>IF(B330="","↓",IF(B330="いいえ","↓",IF(B331="","↓","委託料２の数量（数字のみ記入）")))</f>
        <v>↓</v>
      </c>
      <c r="B336" s="381"/>
      <c r="C336" t="s">
        <v>549</v>
      </c>
    </row>
    <row r="337" spans="1:3" x14ac:dyDescent="0.45">
      <c r="A337" t="str">
        <f>IF(B330="","↓",IF(B330="いいえ","↓",IF(B334="","↓","委託料３の支出内容")))</f>
        <v>↓</v>
      </c>
      <c r="B337" s="381"/>
      <c r="C337" t="str">
        <f>IF(B338*IF(B339="一式",1,B339)&gt;50000, "見積書等の添付が必要です", "")</f>
        <v/>
      </c>
    </row>
    <row r="338" spans="1:3" x14ac:dyDescent="0.45">
      <c r="A338" t="str">
        <f>IF(B330="","↓",IF(B330="いいえ","↓",IF(B334="","↓","委託料３の単価（税込）（数字のみ記入）")))</f>
        <v>↓</v>
      </c>
      <c r="B338" s="381"/>
    </row>
    <row r="339" spans="1:3" x14ac:dyDescent="0.45">
      <c r="A339" t="str">
        <f>IF(B330="","↓",IF(B330="いいえ","↓",IF(B334="","↓","委託料３の数量（数字のみ記入）")))</f>
        <v>↓</v>
      </c>
      <c r="B339" s="381"/>
      <c r="C339" t="s">
        <v>549</v>
      </c>
    </row>
    <row r="340" spans="1:3" x14ac:dyDescent="0.45">
      <c r="A340" t="str">
        <f>IF(B330="","↓",IF(B330="いいえ","↓",IF(B337="","↓","委託料４の支出内容")))</f>
        <v>↓</v>
      </c>
      <c r="B340" s="381"/>
      <c r="C340" t="str">
        <f>IF(B341*IF(B342="一式",1,B342)&gt;50000, "見積書等の添付が必要です", "")</f>
        <v/>
      </c>
    </row>
    <row r="341" spans="1:3" x14ac:dyDescent="0.45">
      <c r="A341" t="str">
        <f>IF(B330="","↓",IF(B330="いいえ","↓",IF(B337="","↓","委託料４の単価（税込）（数字のみ記入）")))</f>
        <v>↓</v>
      </c>
      <c r="B341" s="381"/>
    </row>
    <row r="342" spans="1:3" x14ac:dyDescent="0.45">
      <c r="A342" t="str">
        <f>IF(B330="","↓",IF(B330="いいえ","↓",IF(B337="","↓","委託料４の数量（数字のみ記入）")))</f>
        <v>↓</v>
      </c>
      <c r="B342" s="381"/>
      <c r="C342" t="s">
        <v>549</v>
      </c>
    </row>
    <row r="343" spans="1:3" x14ac:dyDescent="0.45">
      <c r="A343" t="s">
        <v>179</v>
      </c>
      <c r="B343" s="380" t="s">
        <v>626</v>
      </c>
      <c r="C343" t="s">
        <v>98</v>
      </c>
    </row>
    <row r="344" spans="1:3" x14ac:dyDescent="0.45">
      <c r="A344" s="16" t="str">
        <f>IF(B343="","↓",IF(B343="いいえ","↓","レンタル・リース料１の支出内容（例：防災訓練時本部設営用テント）)"))</f>
        <v>レンタル・リース料１の支出内容（例：防災訓練時本部設営用テント）)</v>
      </c>
      <c r="B344" s="381" t="s">
        <v>647</v>
      </c>
      <c r="C344" t="str">
        <f>IF(B345*IF(B346="一式",1,B346)&gt;50000, "見積書等の添付が必要です", "")</f>
        <v/>
      </c>
    </row>
    <row r="345" spans="1:3" x14ac:dyDescent="0.45">
      <c r="A345" t="str">
        <f>IF(B343="","↓",IF(B343="いいえ","↓","レンタル・リース料１の単価（税込）（数字のみ記入）"))</f>
        <v>レンタル・リース料１の単価（税込）（数字のみ記入）</v>
      </c>
      <c r="B345" s="381">
        <v>2000</v>
      </c>
    </row>
    <row r="346" spans="1:3" x14ac:dyDescent="0.45">
      <c r="A346" t="str">
        <f>IF(B343="","↓",IF(B343="いいえ","↓","レンタル・リース料１の数量（数字のみ記入）"))</f>
        <v>レンタル・リース料１の数量（数字のみ記入）</v>
      </c>
      <c r="B346" s="381" t="s">
        <v>627</v>
      </c>
      <c r="C346" t="s">
        <v>549</v>
      </c>
    </row>
    <row r="347" spans="1:3" x14ac:dyDescent="0.45">
      <c r="A347" t="str">
        <f>IF(B343="","↓",IF(B343="いいえ","↓",IF(B344="","↓","レンタル・リース料２の支出内容")))</f>
        <v>レンタル・リース料２の支出内容</v>
      </c>
      <c r="B347" s="381"/>
      <c r="C347" t="str">
        <f>IF(B348*IF(B349="一式",1,B349)&gt;50000, "見積書等の添付が必要です", "")</f>
        <v/>
      </c>
    </row>
    <row r="348" spans="1:3" x14ac:dyDescent="0.45">
      <c r="A348" t="str">
        <f>IF(B343="","↓",IF(B343="いいえ","↓",IF(B344="","↓","レンタル・リース料２の単価（税込）（数字のみ記入）")))</f>
        <v>レンタル・リース料２の単価（税込）（数字のみ記入）</v>
      </c>
      <c r="B348" s="381"/>
    </row>
    <row r="349" spans="1:3" x14ac:dyDescent="0.45">
      <c r="A349" t="str">
        <f>IF(B343="","↓",IF(B343="いいえ","↓",IF(B344="","↓","レンタル・リース料２の数量（数字のみ記入）")))</f>
        <v>レンタル・リース料２の数量（数字のみ記入）</v>
      </c>
      <c r="B349" s="381"/>
      <c r="C349" t="s">
        <v>549</v>
      </c>
    </row>
    <row r="350" spans="1:3" x14ac:dyDescent="0.45">
      <c r="A350" t="str">
        <f>IF(B343="","↓",IF(B343="いいえ","↓",IF(B347="","↓","レンタル・リース料３の支出内容")))</f>
        <v>↓</v>
      </c>
      <c r="B350" s="381"/>
      <c r="C350" t="str">
        <f>IF(B351*IF(B352="一式",1,B352)&gt;50000, "見積書等の添付が必要です", "")</f>
        <v/>
      </c>
    </row>
    <row r="351" spans="1:3" x14ac:dyDescent="0.45">
      <c r="A351" t="str">
        <f>IF(B343="","↓",IF(B343="いいえ","↓",IF(B347="","↓","レンタル・リース料３の単価（税込）（数字のみ記入）")))</f>
        <v>↓</v>
      </c>
      <c r="B351" s="381"/>
    </row>
    <row r="352" spans="1:3" x14ac:dyDescent="0.45">
      <c r="A352" t="str">
        <f>IF(B343="","↓",IF(B343="いいえ","↓",IF(B347="","↓","レンタル・リース料３の数量（数字のみ記入）")))</f>
        <v>↓</v>
      </c>
      <c r="B352" s="381"/>
      <c r="C352" t="s">
        <v>549</v>
      </c>
    </row>
    <row r="353" spans="1:3" x14ac:dyDescent="0.45">
      <c r="A353" t="str">
        <f>IF(B343="","↓",IF(B343="いいえ","↓",IF(B350="","↓","レンタル・リース料４の支出内容")))</f>
        <v>↓</v>
      </c>
      <c r="B353" s="381"/>
      <c r="C353" t="str">
        <f>IF(B354*IF(B355="一式",1,B355)&gt;50000, "見積書等の添付が必要です", "")</f>
        <v/>
      </c>
    </row>
    <row r="354" spans="1:3" x14ac:dyDescent="0.45">
      <c r="A354" t="str">
        <f>IF(B343="","↓",IF(B343="いいえ","↓",IF(B350="","↓","レンタル・リース料４の単価（税込）（数字のみ記入）")))</f>
        <v>↓</v>
      </c>
      <c r="B354" s="381"/>
    </row>
    <row r="355" spans="1:3" x14ac:dyDescent="0.45">
      <c r="A355" t="str">
        <f>IF(B343="","↓",IF(B343="いいえ","↓",IF(B350="","↓","レンタル・リース料４の数量（数字のみ記入）")))</f>
        <v>↓</v>
      </c>
      <c r="B355" s="381"/>
      <c r="C355" t="s">
        <v>549</v>
      </c>
    </row>
    <row r="356" spans="1:3" x14ac:dyDescent="0.45">
      <c r="A356" t="s">
        <v>180</v>
      </c>
      <c r="B356" s="380" t="s">
        <v>625</v>
      </c>
      <c r="C356" t="s">
        <v>98</v>
      </c>
    </row>
    <row r="357" spans="1:3" x14ac:dyDescent="0.45">
      <c r="A357" s="16" t="str">
        <f>IF(B356="","↓",IF(B356="いいえ","↓","工事費１の支出内容（例：盆踊り会場用電気工事）)"))</f>
        <v>↓</v>
      </c>
      <c r="B357" s="381"/>
      <c r="C357" t="str">
        <f>IF(B358*IF(B359="一式",1,B359)&gt;50000, "見積書等の添付が必要です", "")</f>
        <v/>
      </c>
    </row>
    <row r="358" spans="1:3" x14ac:dyDescent="0.45">
      <c r="A358" t="str">
        <f>IF(B356="","↓",IF(B356="いいえ","↓","工事費１の単価（税込）（数字のみ記入）"))</f>
        <v>↓</v>
      </c>
      <c r="B358" s="381"/>
    </row>
    <row r="359" spans="1:3" x14ac:dyDescent="0.45">
      <c r="A359" t="str">
        <f>IF(B356="","↓",IF(B356="いいえ","↓","工事費１の数量（数字のみ記入）"))</f>
        <v>↓</v>
      </c>
      <c r="B359" s="381"/>
      <c r="C359" t="s">
        <v>549</v>
      </c>
    </row>
    <row r="360" spans="1:3" x14ac:dyDescent="0.45">
      <c r="A360" t="str">
        <f>IF(B356="","↓",IF(B356="いいえ","↓",IF(B357="","↓","工事費２の支出内容")))</f>
        <v>↓</v>
      </c>
      <c r="B360" s="381"/>
      <c r="C360" t="str">
        <f>IF(B361*IF(B362="一式",1,B362)&gt;50000, "見積書等の添付が必要です", "")</f>
        <v/>
      </c>
    </row>
    <row r="361" spans="1:3" x14ac:dyDescent="0.45">
      <c r="A361" t="str">
        <f>IF(B356="","↓",IF(B356="いいえ","↓",IF(B357="","↓","工事費２の単価（税込）（数字のみ記入）")))</f>
        <v>↓</v>
      </c>
      <c r="B361" s="381"/>
    </row>
    <row r="362" spans="1:3" x14ac:dyDescent="0.45">
      <c r="A362" t="str">
        <f>IF(B356="","↓",IF(B356="いいえ","↓",IF(B357="","↓","工事費２の数量（数字のみ記入）")))</f>
        <v>↓</v>
      </c>
      <c r="B362" s="381"/>
      <c r="C362" t="s">
        <v>549</v>
      </c>
    </row>
    <row r="363" spans="1:3" x14ac:dyDescent="0.45">
      <c r="A363" t="str">
        <f>IF(B356="","↓",IF(B356="いいえ","↓",IF(B360="","↓","工事費３の支出内容")))</f>
        <v>↓</v>
      </c>
      <c r="B363" s="381"/>
      <c r="C363" t="str">
        <f>IF(B364*IF(B365="一式",1,B365)&gt;50000, "見積書等の添付が必要です", "")</f>
        <v/>
      </c>
    </row>
    <row r="364" spans="1:3" x14ac:dyDescent="0.45">
      <c r="A364" t="str">
        <f>IF(B356="","↓",IF(B356="いいえ","↓",IF(B360="","↓","工事費３の単価（税込）（数字のみ記入）")))</f>
        <v>↓</v>
      </c>
      <c r="B364" s="381"/>
    </row>
    <row r="365" spans="1:3" x14ac:dyDescent="0.45">
      <c r="A365" t="str">
        <f>IF(B356="","↓",IF(B356="いいえ","↓",IF(B360="","↓","工事費３の数量（数字のみ記入）")))</f>
        <v>↓</v>
      </c>
      <c r="B365" s="381"/>
      <c r="C365" t="s">
        <v>549</v>
      </c>
    </row>
    <row r="366" spans="1:3" x14ac:dyDescent="0.45">
      <c r="A366" t="str">
        <f>IF(B356="","↓",IF(B356="いいえ","↓",IF(B363="","↓","工事費４の支出内容")))</f>
        <v>↓</v>
      </c>
      <c r="B366" s="381"/>
      <c r="C366" t="str">
        <f>IF(B367*IF(B368="一式",1,B368)&gt;50000, "見積書等の添付が必要です", "")</f>
        <v/>
      </c>
    </row>
    <row r="367" spans="1:3" x14ac:dyDescent="0.45">
      <c r="A367" t="str">
        <f>IF(B356="","↓",IF(B356="いいえ","↓",IF(B363="","↓","工事費４の単価（税込）（数字のみ記入）")))</f>
        <v>↓</v>
      </c>
      <c r="B367" s="381"/>
    </row>
    <row r="368" spans="1:3" x14ac:dyDescent="0.45">
      <c r="A368" t="str">
        <f>IF(B356="","↓",IF(B356="いいえ","↓",IF(B363="","↓","工事費４の数量（数字のみ記入）")))</f>
        <v>↓</v>
      </c>
      <c r="B368" s="381"/>
      <c r="C368" t="s">
        <v>549</v>
      </c>
    </row>
    <row r="369" spans="1:3" x14ac:dyDescent="0.45">
      <c r="A369" t="s">
        <v>181</v>
      </c>
      <c r="B369" s="380" t="s">
        <v>626</v>
      </c>
      <c r="C369" t="s">
        <v>98</v>
      </c>
    </row>
    <row r="370" spans="1:3" x14ac:dyDescent="0.45">
      <c r="A370" s="16" t="str">
        <f>IF(B369="","↓",IF(B369="いいえ","↓","助成対象外経費１の支出内容"))</f>
        <v>助成対象外経費１の支出内容</v>
      </c>
      <c r="B370" s="381" t="s">
        <v>645</v>
      </c>
    </row>
    <row r="371" spans="1:3" x14ac:dyDescent="0.45">
      <c r="A371" t="str">
        <f>IF(B369="","↓",IF(B369="いいえ","↓","助成対象外経費１の単価（税込）（数字のみ記入）"))</f>
        <v>助成対象外経費１の単価（税込）（数字のみ記入）</v>
      </c>
      <c r="B371" s="381">
        <v>25000</v>
      </c>
    </row>
    <row r="372" spans="1:3" x14ac:dyDescent="0.45">
      <c r="A372" t="str">
        <f>IF(B369="","↓",IF(B369="いいえ","↓","助成対象外経費１の数量（数字のみ記入）"))</f>
        <v>助成対象外経費１の数量（数字のみ記入）</v>
      </c>
      <c r="B372" s="381">
        <v>1</v>
      </c>
      <c r="C372" t="s">
        <v>549</v>
      </c>
    </row>
    <row r="373" spans="1:3" x14ac:dyDescent="0.45">
      <c r="A373" t="str">
        <f>IF(B369="","↓",IF(B369="いいえ","↓",IF(B370="","↓","助成対象外経費２の支出内容")))</f>
        <v>助成対象外経費２の支出内容</v>
      </c>
      <c r="B373" s="381" t="s">
        <v>648</v>
      </c>
    </row>
    <row r="374" spans="1:3" x14ac:dyDescent="0.45">
      <c r="A374" t="str">
        <f>IF(B369="","↓",IF(B369="いいえ","↓",IF(B370="","↓","助成対象外経費２の単価（税込）（数字のみ記入）")))</f>
        <v>助成対象外経費２の単価（税込）（数字のみ記入）</v>
      </c>
      <c r="B374" s="381">
        <v>2300</v>
      </c>
    </row>
    <row r="375" spans="1:3" x14ac:dyDescent="0.45">
      <c r="A375" t="str">
        <f>IF(B369="","↓",IF(B369="いいえ","↓",IF(B370="","↓","助成対象外経費２の数量（数字のみ記入）")))</f>
        <v>助成対象外経費２の数量（数字のみ記入）</v>
      </c>
      <c r="B375" s="381" t="s">
        <v>627</v>
      </c>
      <c r="C375" t="s">
        <v>549</v>
      </c>
    </row>
    <row r="376" spans="1:3" x14ac:dyDescent="0.45">
      <c r="A376" t="str">
        <f>IF(B369="","↓",IF(B369="いいえ","↓",IF(B373="","↓","助成対象外経費３の支出内容")))</f>
        <v>助成対象外経費３の支出内容</v>
      </c>
      <c r="B376" s="381" t="s">
        <v>649</v>
      </c>
    </row>
    <row r="377" spans="1:3" x14ac:dyDescent="0.45">
      <c r="A377" t="str">
        <f>IF(B369="","↓",IF(B369="いいえ","↓",IF(B373="","↓","助成対象外経費３の単価（税込）（数字のみ記入）")))</f>
        <v>助成対象外経費３の単価（税込）（数字のみ記入）</v>
      </c>
      <c r="B377" s="381">
        <v>108</v>
      </c>
    </row>
    <row r="378" spans="1:3" x14ac:dyDescent="0.45">
      <c r="A378" t="str">
        <f>IF(B369="","↓",IF(B369="いいえ","↓",IF(B373="","↓","助成対象外経費３の数量（数字のみ記入）")))</f>
        <v>助成対象外経費３の数量（数字のみ記入）</v>
      </c>
      <c r="B378" s="381">
        <v>75</v>
      </c>
      <c r="C378" t="s">
        <v>549</v>
      </c>
    </row>
    <row r="379" spans="1:3" x14ac:dyDescent="0.45">
      <c r="A379" t="str">
        <f>IF(B369="","↓",IF(B369="いいえ","↓",IF(B376="","↓","助成対象外経費４の支出内容")))</f>
        <v>助成対象外経費４の支出内容</v>
      </c>
      <c r="B379" s="381"/>
    </row>
    <row r="380" spans="1:3" x14ac:dyDescent="0.45">
      <c r="A380" t="str">
        <f>IF(B369="","↓",IF(B369="いいえ","↓",IF(B376="","↓","助成対象外経費４の単価（税込）（数字のみ記入）")))</f>
        <v>助成対象外経費４の単価（税込）（数字のみ記入）</v>
      </c>
      <c r="B380" s="381"/>
    </row>
    <row r="381" spans="1:3" x14ac:dyDescent="0.45">
      <c r="A381" t="str">
        <f>IF(B369="","↓",IF(B369="いいえ","↓",IF(B376="","↓","助成対象外経費４の数量（数字のみ記入）")))</f>
        <v>助成対象外経費４の数量（数字のみ記入）</v>
      </c>
      <c r="B381" s="381"/>
      <c r="C381" t="s">
        <v>549</v>
      </c>
    </row>
    <row r="382" spans="1:3" x14ac:dyDescent="0.45">
      <c r="A382" s="16" t="s">
        <v>182</v>
      </c>
      <c r="B382" s="380" t="s">
        <v>625</v>
      </c>
      <c r="C382" t="s">
        <v>98</v>
      </c>
    </row>
    <row r="383" spans="1:3" x14ac:dyDescent="0.45">
      <c r="A383" s="16" t="str">
        <f>IF(B382="","↓",IF(B382="いいえ","↓","助成金以外の収入の種類（例：寄付金）"))</f>
        <v>↓</v>
      </c>
      <c r="B383" s="381"/>
    </row>
    <row r="384" spans="1:3" x14ac:dyDescent="0.45">
      <c r="A384" t="str">
        <f>IF(B382="","↓",IF(B382="いいえ","↓","助成金以外の収入の金額（数字のみ記入）"))</f>
        <v>↓</v>
      </c>
      <c r="B384" s="381"/>
    </row>
    <row r="385" spans="1:5" x14ac:dyDescent="0.45">
      <c r="A385" s="122" t="s">
        <v>184</v>
      </c>
      <c r="B385" s="261">
        <f>IF(B3="都町連",2000000,IF(B3="町自連",2000000,IF(B3="地区連",1000000,IF(D36="Ｃ",500000,IF(D36="Ｄ",300000,IF(B3="単一",200000,""))))))</f>
        <v>200000</v>
      </c>
    </row>
    <row r="386" spans="1:5" x14ac:dyDescent="0.45">
      <c r="A386" s="122" t="s">
        <v>185</v>
      </c>
      <c r="B386" s="261">
        <f>収支予算書!J62</f>
        <v>227000</v>
      </c>
    </row>
    <row r="387" spans="1:5" x14ac:dyDescent="0.45">
      <c r="A387" s="122" t="s">
        <v>186</v>
      </c>
      <c r="B387" s="261">
        <f>収支予算書!J69</f>
        <v>262400</v>
      </c>
    </row>
    <row r="388" spans="1:5" x14ac:dyDescent="0.45">
      <c r="A388" s="122" t="s">
        <v>187</v>
      </c>
      <c r="B388" s="261">
        <f>IFERROR(B387-B384-B389,"")</f>
        <v>62400</v>
      </c>
    </row>
    <row r="389" spans="1:5" x14ac:dyDescent="0.45">
      <c r="A389" s="121" t="s">
        <v>188</v>
      </c>
      <c r="B389" s="261">
        <f>IFERROR(IF(B387-E389&gt;IF(B384="",0,B384),E389,ROUNDDOWN(B387-IF(B384="",0,B384),-3)),"")</f>
        <v>200000</v>
      </c>
      <c r="E389" s="59">
        <f>IFERROR(IF(ROUNDDOWN(B386*D40,-3)&gt;B385,B385,ROUNDDOWN(B386*D40,-3)),"")</f>
        <v>200000</v>
      </c>
    </row>
    <row r="391" spans="1:5" x14ac:dyDescent="0.45">
      <c r="A391" t="s">
        <v>589</v>
      </c>
    </row>
    <row r="392" spans="1:5" x14ac:dyDescent="0.45">
      <c r="A392" s="354" t="s">
        <v>576</v>
      </c>
    </row>
    <row r="393" spans="1:5" x14ac:dyDescent="0.45">
      <c r="A393" s="354" t="s">
        <v>577</v>
      </c>
    </row>
    <row r="394" spans="1:5" x14ac:dyDescent="0.45">
      <c r="A394" s="354" t="s">
        <v>578</v>
      </c>
    </row>
    <row r="395" spans="1:5" x14ac:dyDescent="0.45">
      <c r="A395" s="354" t="s">
        <v>579</v>
      </c>
    </row>
    <row r="396" spans="1:5" x14ac:dyDescent="0.45">
      <c r="A396" s="354" t="s">
        <v>580</v>
      </c>
    </row>
    <row r="397" spans="1:5" x14ac:dyDescent="0.45">
      <c r="A397" t="s">
        <v>581</v>
      </c>
    </row>
    <row r="398" spans="1:5" x14ac:dyDescent="0.45">
      <c r="A398" s="354" t="s">
        <v>582</v>
      </c>
    </row>
    <row r="399" spans="1:5" x14ac:dyDescent="0.45">
      <c r="A399" s="354" t="s">
        <v>583</v>
      </c>
    </row>
    <row r="400" spans="1:5" x14ac:dyDescent="0.45">
      <c r="A400" s="354" t="s">
        <v>584</v>
      </c>
    </row>
    <row r="401" spans="1:1" x14ac:dyDescent="0.45">
      <c r="A401" s="354" t="s">
        <v>585</v>
      </c>
    </row>
    <row r="402" spans="1:1" x14ac:dyDescent="0.45">
      <c r="A402" t="s">
        <v>586</v>
      </c>
    </row>
    <row r="403" spans="1:1" x14ac:dyDescent="0.45">
      <c r="A403" s="354" t="s">
        <v>582</v>
      </c>
    </row>
    <row r="404" spans="1:1" x14ac:dyDescent="0.45">
      <c r="A404" s="354" t="s">
        <v>587</v>
      </c>
    </row>
    <row r="405" spans="1:1" x14ac:dyDescent="0.45">
      <c r="A405" s="354" t="s">
        <v>588</v>
      </c>
    </row>
  </sheetData>
  <sheetProtection sheet="1" objects="1" scenarios="1"/>
  <phoneticPr fontId="1"/>
  <conditionalFormatting sqref="A37:A39">
    <cfRule type="expression" dxfId="96" priority="1">
      <formula>OR($A37="助成率は10/10です",$A37="助成率は1/2です")</formula>
    </cfRule>
    <cfRule type="expression" dxfId="95" priority="2">
      <formula>$A37="↓"</formula>
    </cfRule>
  </conditionalFormatting>
  <conditionalFormatting sqref="A45:A145">
    <cfRule type="containsText" dxfId="94" priority="13" operator="containsText" text="↓">
      <formula>NOT(ISERROR(SEARCH("↓",A45)))</formula>
    </cfRule>
  </conditionalFormatting>
  <conditionalFormatting sqref="A154:A197">
    <cfRule type="containsText" dxfId="93" priority="122" operator="containsText" text="↓">
      <formula>NOT(ISERROR(SEARCH("↓",A154)))</formula>
    </cfRule>
  </conditionalFormatting>
  <conditionalFormatting sqref="A201:A205 A208:A212">
    <cfRule type="containsText" dxfId="92" priority="509" operator="containsText" text="↓">
      <formula>NOT(ISERROR(SEARCH("↓",A201)))</formula>
    </cfRule>
  </conditionalFormatting>
  <conditionalFormatting sqref="A226:A384">
    <cfRule type="containsBlanks" dxfId="91" priority="511">
      <formula>LEN(TRIM(A226))=0</formula>
    </cfRule>
  </conditionalFormatting>
  <conditionalFormatting sqref="A227:A384">
    <cfRule type="containsText" dxfId="90" priority="508" operator="containsText" text="↓">
      <formula>NOT(ISERROR(SEARCH("↓",A227)))</formula>
    </cfRule>
  </conditionalFormatting>
  <conditionalFormatting sqref="B37">
    <cfRule type="expression" dxfId="89" priority="76">
      <formula>$A$37="助成率は10/10です"</formula>
    </cfRule>
  </conditionalFormatting>
  <conditionalFormatting sqref="B37:B38">
    <cfRule type="expression" dxfId="88" priority="503">
      <formula>$A37="↓"</formula>
    </cfRule>
  </conditionalFormatting>
  <conditionalFormatting sqref="B38">
    <cfRule type="expression" dxfId="87" priority="77">
      <formula>$A$38="助成率は10/10です"</formula>
    </cfRule>
  </conditionalFormatting>
  <conditionalFormatting sqref="B45:B80">
    <cfRule type="expression" dxfId="86" priority="73">
      <formula>$A45="↓"</formula>
    </cfRule>
  </conditionalFormatting>
  <conditionalFormatting sqref="B83:B89">
    <cfRule type="expression" dxfId="85" priority="11">
      <formula>$A83="↓"</formula>
    </cfRule>
  </conditionalFormatting>
  <conditionalFormatting sqref="B91:B97">
    <cfRule type="expression" dxfId="84" priority="10">
      <formula>$A91="↓"</formula>
    </cfRule>
  </conditionalFormatting>
  <conditionalFormatting sqref="B99:B105">
    <cfRule type="expression" dxfId="83" priority="9">
      <formula>$A99="↓"</formula>
    </cfRule>
  </conditionalFormatting>
  <conditionalFormatting sqref="B107:B113">
    <cfRule type="expression" dxfId="82" priority="8">
      <formula>$A107="↓"</formula>
    </cfRule>
  </conditionalFormatting>
  <conditionalFormatting sqref="B115:B121">
    <cfRule type="expression" dxfId="81" priority="7">
      <formula>$A115="↓"</formula>
    </cfRule>
  </conditionalFormatting>
  <conditionalFormatting sqref="B123:B129">
    <cfRule type="expression" dxfId="80" priority="6">
      <formula>$A123="↓"</formula>
    </cfRule>
  </conditionalFormatting>
  <conditionalFormatting sqref="B131:B137">
    <cfRule type="expression" dxfId="79" priority="3">
      <formula>$A131="↓"</formula>
    </cfRule>
  </conditionalFormatting>
  <conditionalFormatting sqref="B139:B145">
    <cfRule type="expression" dxfId="78" priority="4">
      <formula>$A139="↓"</formula>
    </cfRule>
  </conditionalFormatting>
  <conditionalFormatting sqref="B154:B197">
    <cfRule type="expression" dxfId="77" priority="78">
      <formula>$A154="↓"</formula>
    </cfRule>
  </conditionalFormatting>
  <conditionalFormatting sqref="B201:B205">
    <cfRule type="expression" dxfId="76" priority="433">
      <formula>$A201="↓"</formula>
    </cfRule>
  </conditionalFormatting>
  <conditionalFormatting sqref="B208:B212">
    <cfRule type="expression" dxfId="75" priority="428">
      <formula>$A208="↓"</formula>
    </cfRule>
  </conditionalFormatting>
  <conditionalFormatting sqref="B227:B238">
    <cfRule type="expression" dxfId="74" priority="405">
      <formula>$A227="↓"</formula>
    </cfRule>
  </conditionalFormatting>
  <conditionalFormatting sqref="B240:B251">
    <cfRule type="expression" dxfId="73" priority="367">
      <formula>$A240="↓"</formula>
    </cfRule>
  </conditionalFormatting>
  <conditionalFormatting sqref="B253:B303">
    <cfRule type="expression" dxfId="72" priority="264">
      <formula>$A253="↓"</formula>
    </cfRule>
  </conditionalFormatting>
  <conditionalFormatting sqref="B305:B316">
    <cfRule type="expression" dxfId="71" priority="240">
      <formula>$A305="↓"</formula>
    </cfRule>
  </conditionalFormatting>
  <conditionalFormatting sqref="B318:B329">
    <cfRule type="expression" dxfId="70" priority="216">
      <formula>$A318="↓"</formula>
    </cfRule>
  </conditionalFormatting>
  <conditionalFormatting sqref="B331:B342">
    <cfRule type="expression" dxfId="69" priority="190">
      <formula>$A331="↓"</formula>
    </cfRule>
  </conditionalFormatting>
  <conditionalFormatting sqref="B344:B355">
    <cfRule type="expression" dxfId="68" priority="68">
      <formula>$A344="↓"</formula>
    </cfRule>
  </conditionalFormatting>
  <conditionalFormatting sqref="B357:B368">
    <cfRule type="expression" dxfId="67" priority="56">
      <formula>$A357="↓"</formula>
    </cfRule>
  </conditionalFormatting>
  <conditionalFormatting sqref="B370:B381">
    <cfRule type="expression" dxfId="66" priority="44">
      <formula>$A370="↓"</formula>
    </cfRule>
  </conditionalFormatting>
  <conditionalFormatting sqref="B383:B384">
    <cfRule type="expression" dxfId="65" priority="42">
      <formula>$A383="↓"</formula>
    </cfRule>
  </conditionalFormatting>
  <dataValidations count="15">
    <dataValidation type="list" allowBlank="1" showInputMessage="1" showErrorMessage="1" sqref="B35" xr:uid="{00000000-0002-0000-0000-000001000000}">
      <formula1>"ある, ない"</formula1>
    </dataValidation>
    <dataValidation type="list" allowBlank="1" showInputMessage="1" showErrorMessage="1" sqref="B41" xr:uid="{00000000-0002-0000-0000-000003000000}">
      <formula1>"有, 無"</formula1>
    </dataValidation>
    <dataValidation type="list" allowBlank="1" showInputMessage="1" showErrorMessage="1" sqref="B43" xr:uid="{00000000-0002-0000-0000-000004000000}">
      <formula1>"令和５年,令和６年,令和７年"</formula1>
    </dataValidation>
    <dataValidation type="list" allowBlank="1" showInputMessage="1" showErrorMessage="1" sqref="B44" xr:uid="{00000000-0002-0000-0000-000005000000}">
      <formula1>"１月末現在,２月末現在,３月末現在,４月末現在,５月末現在,６月末現在,７月末現在,８月末現在,９月末現在,10月末現在,11月末現在,12月末現在"</formula1>
    </dataValidation>
    <dataValidation allowBlank="1" showInputMessage="1" showErrorMessage="1" prompt="式が入力されているので削除しないでください" sqref="B40 A37:A39" xr:uid="{00000000-0002-0000-0000-000006000000}"/>
    <dataValidation type="list" allowBlank="1" showInputMessage="1" showErrorMessage="1" sqref="B161:B174 B176:B180 B182:B183 B185:B188 B190:B193 B195:B196 B218:B221 B147:B159 B18:B19 B83:B89 B91:B97 B99:B105 B139:B145 B123:B129 B131:B137 B107:B113 B115:B121" xr:uid="{00000000-0002-0000-0000-000007000000}">
      <formula1>"☑"</formula1>
    </dataValidation>
    <dataValidation type="list" allowBlank="1" showInputMessage="1" showErrorMessage="1" sqref="B226 B239 B252 B304 B317 B330 B343 B356 B369 B382" xr:uid="{00000000-0002-0000-0000-000008000000}">
      <formula1>"はい,いいえ"</formula1>
    </dataValidation>
    <dataValidation type="list" allowBlank="1" showInputMessage="1" showErrorMessage="1" sqref="B3" xr:uid="{00000000-0002-0000-0000-000009000000}">
      <formula1>"単一,地区連,町自連,都町連"</formula1>
    </dataValidation>
    <dataValidation type="list" allowBlank="1" showInputMessage="1" showErrorMessage="1" sqref="B223" xr:uid="{00000000-0002-0000-0000-00000A000000}">
      <formula1>"令和５,令和６,令和７"</formula1>
    </dataValidation>
    <dataValidation type="list" allowBlank="1" showInputMessage="1" showErrorMessage="1" sqref="B224" xr:uid="{00000000-0002-0000-0000-00000B000000}">
      <formula1>"１,２,３,４,５,６,７,８,９,10,11,12"</formula1>
    </dataValidation>
    <dataValidation type="list" allowBlank="1" showInputMessage="1" showErrorMessage="1" sqref="B225" xr:uid="{00000000-0002-0000-0000-00000C000000}">
      <formula1>"上,中,下"</formula1>
    </dataValidation>
    <dataValidation type="list" allowBlank="1" showInputMessage="1" sqref="B21:B35" xr:uid="{00000000-0002-0000-0000-00000D000000}">
      <formula1>"含んでいない"</formula1>
    </dataValidation>
    <dataValidation type="list" allowBlank="1" showInputMessage="1" showErrorMessage="1" sqref="B37" xr:uid="{39817B8A-1F81-47E4-9C13-C0F14AA1FDAD}">
      <formula1>"初めて（Ｃ区分・Ｄ区分の場合は取組内容を問わずその区分自体が初めての場合を指す）,2回目以上（前年度までに同じ区分で申請したことがある）"</formula1>
    </dataValidation>
    <dataValidation type="list" allowBlank="1" showInputMessage="1" showErrorMessage="1" sqref="B38" xr:uid="{1FE3F4B6-D223-40F4-A471-5C3DEA1EE11D}">
      <formula1>"実施する,実施しない"</formula1>
    </dataValidation>
    <dataValidation type="list" allowBlank="1" showInputMessage="1" sqref="B36" xr:uid="{00000000-0002-0000-0000-000000000000}">
      <formula1>$K$35:$K$45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view="pageBreakPreview" zoomScale="120" zoomScaleNormal="100" zoomScaleSheetLayoutView="120" workbookViewId="0">
      <selection activeCell="E17" sqref="E17:G17"/>
    </sheetView>
  </sheetViews>
  <sheetFormatPr defaultRowHeight="13.2" x14ac:dyDescent="0.45"/>
  <cols>
    <col min="1" max="1" width="2.8984375" style="11" customWidth="1"/>
    <col min="2" max="2" width="4.796875" style="11" customWidth="1"/>
    <col min="3" max="3" width="2.3984375" style="11" customWidth="1"/>
    <col min="4" max="4" width="11.296875" style="11" customWidth="1"/>
    <col min="5" max="5" width="17.59765625" style="11" customWidth="1"/>
    <col min="6" max="6" width="4.796875" style="11" customWidth="1"/>
    <col min="7" max="7" width="5.19921875" style="11" customWidth="1"/>
    <col min="8" max="8" width="9.796875" style="11" customWidth="1"/>
    <col min="9" max="9" width="28.796875" style="11" customWidth="1"/>
    <col min="10" max="10" width="2.69921875" style="11" customWidth="1"/>
    <col min="11" max="14" width="9.5" style="11" customWidth="1"/>
    <col min="15" max="16384" width="8.796875" style="11"/>
  </cols>
  <sheetData>
    <row r="1" spans="1:11" x14ac:dyDescent="0.45">
      <c r="A1" s="6"/>
      <c r="B1" s="6"/>
      <c r="C1" s="6"/>
      <c r="D1" s="6"/>
      <c r="E1" s="6"/>
      <c r="F1" s="6"/>
      <c r="G1" s="6"/>
      <c r="H1" s="6"/>
      <c r="I1" s="6"/>
      <c r="J1" s="6"/>
    </row>
    <row r="2" spans="1:11" x14ac:dyDescent="0.45">
      <c r="A2" s="6"/>
      <c r="B2" s="6"/>
      <c r="C2" s="6"/>
      <c r="D2" s="6"/>
      <c r="E2" s="6"/>
      <c r="F2" s="6"/>
      <c r="G2" s="6"/>
      <c r="H2" s="6"/>
      <c r="I2" s="6"/>
      <c r="J2" s="6"/>
    </row>
    <row r="3" spans="1:11" x14ac:dyDescent="0.45">
      <c r="A3" s="6"/>
      <c r="B3" s="6"/>
      <c r="C3" s="6"/>
      <c r="D3" s="6"/>
      <c r="E3" s="6"/>
      <c r="F3" s="6"/>
      <c r="G3" s="6"/>
      <c r="H3" s="6"/>
      <c r="I3" s="6"/>
      <c r="J3" s="6"/>
    </row>
    <row r="4" spans="1:11" x14ac:dyDescent="0.45">
      <c r="A4" s="319" t="s">
        <v>0</v>
      </c>
      <c r="B4" s="319"/>
      <c r="C4" s="319"/>
      <c r="D4" s="319"/>
      <c r="E4" s="6"/>
      <c r="F4" s="6"/>
      <c r="G4" s="6"/>
      <c r="H4" s="6"/>
      <c r="I4" s="6"/>
      <c r="J4" s="6"/>
    </row>
    <row r="5" spans="1:11" x14ac:dyDescent="0.45">
      <c r="A5" s="314" t="s">
        <v>1</v>
      </c>
      <c r="B5" s="314"/>
      <c r="C5" s="314"/>
      <c r="D5" s="314"/>
      <c r="E5" s="6"/>
      <c r="F5" s="6"/>
      <c r="G5" s="6"/>
      <c r="H5" s="6"/>
      <c r="I5" s="6"/>
      <c r="J5" s="6"/>
    </row>
    <row r="6" spans="1:11" ht="6" customHeight="1" x14ac:dyDescent="0.45">
      <c r="A6" s="6"/>
      <c r="B6" s="6"/>
      <c r="C6" s="6"/>
      <c r="D6" s="6"/>
      <c r="E6" s="6"/>
      <c r="F6" s="6"/>
      <c r="G6" s="6"/>
      <c r="H6" s="6"/>
      <c r="I6" s="6"/>
      <c r="J6" s="6"/>
    </row>
    <row r="7" spans="1:11" x14ac:dyDescent="0.45">
      <c r="A7" s="6"/>
      <c r="B7" s="6"/>
      <c r="C7" s="6"/>
      <c r="D7" s="6"/>
      <c r="E7" s="6"/>
      <c r="F7" s="6"/>
      <c r="G7" s="6"/>
      <c r="H7" s="6"/>
      <c r="I7" s="6"/>
      <c r="J7" s="296" t="s">
        <v>5</v>
      </c>
    </row>
    <row r="8" spans="1:11" x14ac:dyDescent="0.45">
      <c r="A8" s="6" t="s">
        <v>2</v>
      </c>
      <c r="B8" s="6"/>
      <c r="C8" s="6"/>
      <c r="D8" s="6"/>
      <c r="E8" s="6"/>
      <c r="F8" s="6"/>
      <c r="G8" s="6"/>
      <c r="H8" s="6"/>
      <c r="I8" s="6"/>
      <c r="J8" s="6"/>
    </row>
    <row r="9" spans="1:11" ht="6.6" customHeight="1" thickBot="1" x14ac:dyDescent="0.5">
      <c r="A9" s="6"/>
      <c r="B9" s="6"/>
      <c r="C9" s="6"/>
      <c r="D9" s="6"/>
      <c r="E9" s="6"/>
      <c r="F9" s="6"/>
      <c r="G9" s="6"/>
      <c r="H9" s="300"/>
      <c r="I9" s="300"/>
      <c r="J9" s="6"/>
    </row>
    <row r="10" spans="1:11" ht="26.4" customHeight="1" thickBot="1" x14ac:dyDescent="0.5">
      <c r="A10" s="6"/>
      <c r="B10" s="6"/>
      <c r="C10" s="6"/>
      <c r="D10" s="334" t="s">
        <v>11</v>
      </c>
      <c r="E10" s="416" t="str">
        <f>入力フォーム!B2&amp;""</f>
        <v>東京一丁目町会</v>
      </c>
      <c r="F10" s="416"/>
      <c r="G10" s="417"/>
      <c r="H10" s="331" t="s">
        <v>379</v>
      </c>
      <c r="I10" s="357" t="str">
        <f>入力フォーム!B6&amp;"　"&amp;入力フォーム!B7</f>
        <v>会長　東京　太郎</v>
      </c>
      <c r="J10" s="349" t="s">
        <v>450</v>
      </c>
      <c r="K10" s="11" t="s">
        <v>97</v>
      </c>
    </row>
    <row r="11" spans="1:11" x14ac:dyDescent="0.45">
      <c r="A11" s="6"/>
      <c r="B11" s="6"/>
      <c r="C11" s="6"/>
      <c r="D11" s="423" t="s">
        <v>12</v>
      </c>
      <c r="E11" s="411" t="str">
        <f>IF(入力フォーム!B4="", "〒",TEXT(入力フォーム!B4,"〒000-0000"))</f>
        <v>〒111-0001</v>
      </c>
      <c r="F11" s="411"/>
      <c r="G11" s="412"/>
      <c r="H11" s="419" t="s">
        <v>400</v>
      </c>
      <c r="I11" s="395" t="str">
        <f>入力フォーム!B8&amp;""</f>
        <v>03-5321-XXXX</v>
      </c>
      <c r="J11" s="396"/>
      <c r="K11" s="11" t="s">
        <v>97</v>
      </c>
    </row>
    <row r="12" spans="1:11" x14ac:dyDescent="0.45">
      <c r="A12" s="6"/>
      <c r="B12" s="6"/>
      <c r="C12" s="6"/>
      <c r="D12" s="414"/>
      <c r="E12" s="408" t="str">
        <f>入力フォーム!B5&amp;""</f>
        <v>○○区△△１－２－１</v>
      </c>
      <c r="F12" s="408"/>
      <c r="G12" s="409"/>
      <c r="H12" s="420"/>
      <c r="I12" s="397"/>
      <c r="J12" s="398"/>
    </row>
    <row r="13" spans="1:11" ht="6.6" customHeight="1" x14ac:dyDescent="0.45">
      <c r="A13" s="6"/>
      <c r="B13" s="6"/>
      <c r="C13" s="6"/>
      <c r="D13" s="298"/>
      <c r="E13" s="6"/>
      <c r="F13" s="6"/>
      <c r="G13" s="6"/>
      <c r="H13" s="298"/>
      <c r="I13" s="298"/>
      <c r="J13" s="328"/>
    </row>
    <row r="14" spans="1:11" ht="13.2" customHeight="1" x14ac:dyDescent="0.45">
      <c r="A14" s="6"/>
      <c r="B14" s="6"/>
      <c r="C14" s="6"/>
      <c r="D14" s="316" t="s">
        <v>404</v>
      </c>
      <c r="E14" s="6" t="s">
        <v>451</v>
      </c>
      <c r="F14" s="6"/>
      <c r="G14" s="6"/>
      <c r="H14" s="6"/>
      <c r="I14" s="6"/>
      <c r="J14" s="6"/>
    </row>
    <row r="15" spans="1:11" ht="26.4" customHeight="1" x14ac:dyDescent="0.45">
      <c r="A15" s="6"/>
      <c r="B15" s="6"/>
      <c r="C15" s="6"/>
      <c r="D15" s="329" t="s">
        <v>402</v>
      </c>
      <c r="E15" s="399" t="str">
        <f>入力フォーム!B9&amp;""</f>
        <v>副会長</v>
      </c>
      <c r="F15" s="399"/>
      <c r="G15" s="400"/>
      <c r="H15" s="291" t="s">
        <v>401</v>
      </c>
      <c r="I15" s="399" t="str">
        <f>入力フォーム!B10&amp;""</f>
        <v>新宿　花子</v>
      </c>
      <c r="J15" s="400"/>
      <c r="K15" s="11" t="s">
        <v>97</v>
      </c>
    </row>
    <row r="16" spans="1:11" ht="12.6" customHeight="1" x14ac:dyDescent="0.45">
      <c r="A16" s="6"/>
      <c r="B16" s="6"/>
      <c r="C16" s="6"/>
      <c r="D16" s="413" t="s">
        <v>12</v>
      </c>
      <c r="E16" s="395" t="str">
        <f>IF(入力フォーム!B11="","〒",TEXT(入力フォーム!B11,"〒000-0000"))</f>
        <v>〒111-0002</v>
      </c>
      <c r="F16" s="395"/>
      <c r="G16" s="396"/>
      <c r="H16" s="421" t="s">
        <v>445</v>
      </c>
      <c r="I16" s="401" t="str">
        <f>IF(AND(入力フォーム!B13&lt;&gt;"",入力フォーム!B14&lt;&gt;""),"①"&amp;入力フォーム!B13&amp;"/②"&amp;入力フォーム!B14,IF(AND(入力フォーム!B13&lt;&gt;"",入力フォーム!B14=""),"①"&amp;入力フォーム!B13,IF(AND(入力フォーム!B13="",入力フォーム!B14&lt;&gt;""),"②"&amp;入力フォーム!B14,"①　　　　　         　　　　　　　　　②")))</f>
        <v>①03-5321-YYYY/②090-1234-ZZZZ</v>
      </c>
      <c r="J16" s="402"/>
      <c r="K16" s="11" t="s">
        <v>97</v>
      </c>
    </row>
    <row r="17" spans="1:11" ht="22.2" customHeight="1" x14ac:dyDescent="0.45">
      <c r="A17" s="6"/>
      <c r="B17" s="6"/>
      <c r="C17" s="6"/>
      <c r="D17" s="414"/>
      <c r="E17" s="408" t="str">
        <f>入力フォーム!B12&amp;""</f>
        <v>○○区△△３－２－１４</v>
      </c>
      <c r="F17" s="408"/>
      <c r="G17" s="409"/>
      <c r="H17" s="420"/>
      <c r="I17" s="403"/>
      <c r="J17" s="404"/>
    </row>
    <row r="18" spans="1:11" ht="26.4" customHeight="1" x14ac:dyDescent="0.45">
      <c r="A18" s="6"/>
      <c r="B18" s="6"/>
      <c r="C18" s="6"/>
      <c r="D18" s="333" t="s">
        <v>414</v>
      </c>
      <c r="E18" s="397" t="str">
        <f>入力フォーム!B15&amp;""</f>
        <v>03-5321-ZZZZ</v>
      </c>
      <c r="F18" s="397"/>
      <c r="G18" s="398"/>
      <c r="H18" s="331" t="s">
        <v>403</v>
      </c>
      <c r="I18" s="405" t="str">
        <f>入力フォーム!B16&amp;""</f>
        <v>hanako-s@toooo.xxxx.jp</v>
      </c>
      <c r="J18" s="406"/>
      <c r="K18" s="11" t="s">
        <v>97</v>
      </c>
    </row>
    <row r="19" spans="1:11" x14ac:dyDescent="0.45">
      <c r="A19" s="6"/>
      <c r="B19" s="6"/>
      <c r="C19" s="6"/>
      <c r="D19" s="298"/>
      <c r="E19" s="6"/>
      <c r="F19" s="422" t="s">
        <v>405</v>
      </c>
      <c r="G19" s="422"/>
      <c r="H19" s="422"/>
      <c r="I19" s="422"/>
      <c r="J19" s="422"/>
    </row>
    <row r="20" spans="1:11" ht="13.2" customHeight="1" x14ac:dyDescent="0.45">
      <c r="A20" s="6"/>
      <c r="B20" s="6"/>
      <c r="C20" s="6"/>
      <c r="D20" s="6"/>
      <c r="E20" s="6"/>
      <c r="F20" s="410"/>
      <c r="G20" s="410"/>
      <c r="H20" s="410"/>
      <c r="I20" s="410"/>
      <c r="J20" s="410"/>
    </row>
    <row r="21" spans="1:11" ht="6" customHeight="1" x14ac:dyDescent="0.45">
      <c r="A21" s="6"/>
      <c r="B21" s="6"/>
      <c r="C21" s="6"/>
      <c r="D21" s="6"/>
      <c r="E21" s="6"/>
      <c r="F21" s="6"/>
      <c r="G21" s="6"/>
      <c r="H21" s="6"/>
      <c r="I21" s="6"/>
      <c r="J21" s="6"/>
    </row>
    <row r="22" spans="1:11" x14ac:dyDescent="0.45">
      <c r="A22" s="318" t="s">
        <v>368</v>
      </c>
      <c r="B22" s="318"/>
      <c r="C22" s="318"/>
      <c r="D22" s="318"/>
      <c r="E22" s="318"/>
      <c r="F22" s="318"/>
      <c r="G22" s="318"/>
      <c r="H22" s="318"/>
      <c r="I22" s="318"/>
      <c r="J22" s="318"/>
    </row>
    <row r="23" spans="1:11" x14ac:dyDescent="0.45">
      <c r="A23" s="6"/>
      <c r="B23" s="6"/>
      <c r="C23" s="6"/>
      <c r="D23" s="6"/>
      <c r="E23" s="6"/>
      <c r="F23" s="6"/>
      <c r="G23" s="6"/>
      <c r="H23" s="6"/>
      <c r="I23" s="6"/>
      <c r="J23" s="6"/>
    </row>
    <row r="24" spans="1:11" x14ac:dyDescent="0.45">
      <c r="A24" s="6" t="s">
        <v>511</v>
      </c>
      <c r="B24" s="6"/>
      <c r="C24" s="6"/>
      <c r="D24" s="6"/>
      <c r="E24" s="6"/>
      <c r="F24" s="6"/>
      <c r="G24" s="6"/>
      <c r="H24" s="6"/>
      <c r="I24" s="6"/>
      <c r="J24" s="6"/>
    </row>
    <row r="25" spans="1:11" x14ac:dyDescent="0.45">
      <c r="A25" s="6" t="s">
        <v>418</v>
      </c>
      <c r="B25" s="6"/>
      <c r="C25" s="6"/>
      <c r="D25" s="6"/>
      <c r="E25" s="6"/>
      <c r="F25" s="6"/>
      <c r="G25" s="6"/>
      <c r="H25" s="6"/>
      <c r="I25" s="6"/>
      <c r="J25" s="6"/>
    </row>
    <row r="26" spans="1:11" x14ac:dyDescent="0.45">
      <c r="A26" s="6" t="s">
        <v>419</v>
      </c>
      <c r="B26" s="6"/>
      <c r="C26" s="6"/>
      <c r="D26" s="6"/>
      <c r="E26" s="6"/>
      <c r="F26" s="6"/>
      <c r="G26" s="6"/>
      <c r="H26" s="6"/>
      <c r="I26" s="6"/>
      <c r="J26" s="6"/>
    </row>
    <row r="27" spans="1:11" x14ac:dyDescent="0.45">
      <c r="A27" s="6" t="s">
        <v>420</v>
      </c>
      <c r="B27" s="6"/>
      <c r="C27" s="6"/>
      <c r="D27" s="6"/>
      <c r="E27" s="6"/>
      <c r="F27" s="6"/>
      <c r="G27" s="6"/>
      <c r="H27" s="6"/>
      <c r="I27" s="6"/>
      <c r="J27" s="6"/>
    </row>
    <row r="28" spans="1:11" ht="6" customHeight="1" x14ac:dyDescent="0.45">
      <c r="A28" s="6"/>
      <c r="B28" s="6"/>
      <c r="C28" s="6"/>
      <c r="D28" s="6"/>
      <c r="E28" s="6"/>
      <c r="F28" s="6"/>
      <c r="G28" s="6"/>
      <c r="H28" s="6"/>
      <c r="I28" s="6"/>
      <c r="J28" s="6"/>
    </row>
    <row r="29" spans="1:11" x14ac:dyDescent="0.45">
      <c r="A29" s="318" t="s">
        <v>4</v>
      </c>
      <c r="B29" s="318"/>
      <c r="C29" s="318"/>
      <c r="D29" s="318"/>
      <c r="E29" s="318"/>
      <c r="F29" s="318"/>
      <c r="G29" s="318"/>
      <c r="H29" s="318"/>
      <c r="I29" s="318"/>
      <c r="J29" s="318"/>
    </row>
    <row r="30" spans="1:11" ht="6" customHeight="1" x14ac:dyDescent="0.45">
      <c r="A30" s="318"/>
      <c r="B30" s="318"/>
      <c r="C30" s="318"/>
      <c r="D30" s="318"/>
      <c r="E30" s="318"/>
      <c r="F30" s="318"/>
      <c r="G30" s="318"/>
      <c r="H30" s="318"/>
      <c r="I30" s="318"/>
      <c r="J30" s="318"/>
    </row>
    <row r="31" spans="1:11" ht="24.6" customHeight="1" x14ac:dyDescent="0.2">
      <c r="A31" s="320" t="s">
        <v>6</v>
      </c>
      <c r="B31" s="320" t="s">
        <v>316</v>
      </c>
      <c r="C31" s="278"/>
      <c r="D31" s="6"/>
      <c r="E31" s="321" t="s">
        <v>375</v>
      </c>
      <c r="F31" s="6"/>
      <c r="G31" s="6"/>
      <c r="H31" s="6"/>
      <c r="I31" s="6"/>
      <c r="J31" s="6"/>
      <c r="K31" s="11" t="s">
        <v>97</v>
      </c>
    </row>
    <row r="32" spans="1:11" ht="22.2" customHeight="1" x14ac:dyDescent="0.45">
      <c r="A32" s="297"/>
      <c r="B32" s="322" t="str">
        <f>IF(入力フォーム!B36=第１号様式!C32,"○","")</f>
        <v/>
      </c>
      <c r="C32" s="407" t="s">
        <v>324</v>
      </c>
      <c r="D32" s="399"/>
      <c r="E32" s="400"/>
      <c r="F32" s="19" t="str">
        <f>IF(入力フォーム!B36=第１号様式!G32,"○","")</f>
        <v/>
      </c>
      <c r="G32" s="407" t="s">
        <v>329</v>
      </c>
      <c r="H32" s="399"/>
      <c r="I32" s="399"/>
      <c r="J32" s="400"/>
    </row>
    <row r="33" spans="1:11" ht="22.2" customHeight="1" x14ac:dyDescent="0.45">
      <c r="A33" s="297"/>
      <c r="B33" s="322" t="str">
        <f>IF(入力フォーム!B36=第１号様式!C33,"○","")</f>
        <v/>
      </c>
      <c r="C33" s="407" t="s">
        <v>325</v>
      </c>
      <c r="D33" s="399"/>
      <c r="E33" s="400"/>
      <c r="F33" s="19" t="str">
        <f>IF(入力フォーム!B36=第１号様式!G33,"○","")</f>
        <v>○</v>
      </c>
      <c r="G33" s="407" t="s">
        <v>330</v>
      </c>
      <c r="H33" s="399"/>
      <c r="I33" s="399"/>
      <c r="J33" s="400"/>
    </row>
    <row r="34" spans="1:11" ht="22.2" customHeight="1" x14ac:dyDescent="0.45">
      <c r="A34" s="297"/>
      <c r="B34" s="322" t="str">
        <f>IF(入力フォーム!B36=第１号様式!C34,"○","")</f>
        <v/>
      </c>
      <c r="C34" s="407" t="s">
        <v>326</v>
      </c>
      <c r="D34" s="399"/>
      <c r="E34" s="400"/>
      <c r="F34" s="19" t="str">
        <f>IF(入力フォーム!D36="Ｃ","○","")</f>
        <v/>
      </c>
      <c r="G34" s="424" t="s">
        <v>331</v>
      </c>
      <c r="H34" s="425"/>
      <c r="I34" s="425"/>
      <c r="J34" s="426"/>
    </row>
    <row r="35" spans="1:11" ht="22.2" customHeight="1" x14ac:dyDescent="0.45">
      <c r="A35" s="297"/>
      <c r="B35" s="322" t="str">
        <f>IF(入力フォーム!B36=第１号様式!C35,"○","")</f>
        <v/>
      </c>
      <c r="C35" s="407" t="s">
        <v>327</v>
      </c>
      <c r="D35" s="399"/>
      <c r="E35" s="400"/>
      <c r="F35" s="19" t="str">
        <f>IF(入力フォーム!D36="Ｄ","○","")</f>
        <v/>
      </c>
      <c r="G35" s="424" t="s">
        <v>332</v>
      </c>
      <c r="H35" s="425"/>
      <c r="I35" s="425"/>
      <c r="J35" s="426"/>
    </row>
    <row r="36" spans="1:11" ht="22.2" customHeight="1" x14ac:dyDescent="0.45">
      <c r="A36" s="297"/>
      <c r="B36" s="322" t="str">
        <f>IF(入力フォーム!B36=第１号様式!C36,"○","")</f>
        <v/>
      </c>
      <c r="C36" s="407" t="s">
        <v>328</v>
      </c>
      <c r="D36" s="399"/>
      <c r="E36" s="400"/>
      <c r="F36" s="323"/>
      <c r="G36" s="323"/>
      <c r="H36" s="323"/>
      <c r="I36" s="323"/>
      <c r="J36" s="323"/>
    </row>
    <row r="37" spans="1:11" ht="6" customHeight="1" x14ac:dyDescent="0.45">
      <c r="A37" s="6"/>
      <c r="B37" s="6"/>
      <c r="C37" s="6"/>
      <c r="D37" s="6"/>
      <c r="E37" s="6"/>
      <c r="F37" s="6"/>
      <c r="G37" s="6"/>
      <c r="H37" s="6"/>
      <c r="I37" s="6"/>
      <c r="J37" s="6"/>
    </row>
    <row r="38" spans="1:11" ht="24.6" customHeight="1" x14ac:dyDescent="0.45">
      <c r="A38" s="297" t="s">
        <v>7</v>
      </c>
      <c r="B38" s="297" t="s">
        <v>317</v>
      </c>
      <c r="C38" s="278"/>
      <c r="D38" s="278"/>
      <c r="E38" s="322" t="str">
        <f>IF(入力フォーム!B40="", "10/10 ・ １／２",入力フォーム!B40)</f>
        <v>10/10</v>
      </c>
      <c r="F38" s="418" t="s">
        <v>380</v>
      </c>
      <c r="G38" s="418"/>
      <c r="H38" s="418"/>
      <c r="I38" s="393" t="str">
        <f>IF(入力フォーム!B35="ない","活用しない",IF(入力フォーム!A37="助成率は10/10です","活用しない",IF(入力フォーム!A38="助成率は10/10です","活用しない",IF(入力フォーム!B38="実施しない","活用しない",IF(入力フォーム!B38="実施する","活用する","活用する ・ 活用しない")))))</f>
        <v>活用しない</v>
      </c>
      <c r="J38" s="394"/>
      <c r="K38" s="11" t="s">
        <v>97</v>
      </c>
    </row>
    <row r="39" spans="1:11" x14ac:dyDescent="0.45">
      <c r="A39" s="6"/>
      <c r="B39" s="6" t="s">
        <v>346</v>
      </c>
      <c r="C39" s="6"/>
      <c r="D39" s="6"/>
      <c r="E39" s="6"/>
      <c r="F39" s="6"/>
      <c r="G39" s="6"/>
      <c r="H39" s="6"/>
      <c r="I39" s="6"/>
      <c r="J39" s="6"/>
    </row>
    <row r="40" spans="1:11" x14ac:dyDescent="0.45">
      <c r="A40" s="6"/>
      <c r="B40" s="6" t="s">
        <v>421</v>
      </c>
      <c r="C40" s="6"/>
      <c r="D40" s="6"/>
      <c r="E40" s="6"/>
      <c r="F40" s="6"/>
      <c r="G40" s="6"/>
      <c r="H40" s="6"/>
      <c r="I40" s="6"/>
      <c r="J40" s="6"/>
    </row>
    <row r="41" spans="1:11" x14ac:dyDescent="0.45">
      <c r="A41" s="6"/>
      <c r="B41" s="6" t="s">
        <v>422</v>
      </c>
      <c r="C41" s="6"/>
      <c r="D41" s="6"/>
      <c r="E41" s="6"/>
      <c r="F41" s="6"/>
      <c r="G41" s="6"/>
      <c r="H41" s="6"/>
      <c r="I41" s="6"/>
      <c r="J41" s="6"/>
    </row>
    <row r="42" spans="1:11" ht="6" customHeight="1" x14ac:dyDescent="0.45">
      <c r="A42" s="6"/>
      <c r="B42" s="6"/>
      <c r="C42" s="6"/>
      <c r="D42" s="6"/>
      <c r="E42" s="6"/>
      <c r="F42" s="6"/>
      <c r="G42" s="6"/>
      <c r="H42" s="6"/>
      <c r="I42" s="6"/>
      <c r="J42" s="6"/>
    </row>
    <row r="43" spans="1:11" ht="24.6" customHeight="1" x14ac:dyDescent="0.45">
      <c r="A43" s="297" t="s">
        <v>8</v>
      </c>
      <c r="B43" s="297" t="s">
        <v>318</v>
      </c>
      <c r="C43" s="278"/>
      <c r="D43" s="278"/>
      <c r="E43" s="324" t="str">
        <f>IF(収支予算書!J8="",DBCS("，０００"),DBCS(収支予算書!J8))</f>
        <v>２００，０００</v>
      </c>
      <c r="F43" s="325" t="s">
        <v>376</v>
      </c>
      <c r="G43" s="415" t="s">
        <v>446</v>
      </c>
      <c r="H43" s="415"/>
      <c r="I43" s="415"/>
      <c r="J43" s="415"/>
      <c r="K43" s="11" t="s">
        <v>97</v>
      </c>
    </row>
    <row r="44" spans="1:11" ht="6" customHeight="1" x14ac:dyDescent="0.45">
      <c r="A44" s="6"/>
      <c r="B44" s="6"/>
      <c r="C44" s="6"/>
      <c r="D44" s="6"/>
      <c r="E44" s="6"/>
      <c r="F44" s="6"/>
      <c r="G44" s="6"/>
      <c r="H44" s="6"/>
      <c r="I44" s="6"/>
      <c r="J44" s="6"/>
    </row>
    <row r="45" spans="1:11" ht="24.6" customHeight="1" x14ac:dyDescent="0.45">
      <c r="A45" s="297" t="s">
        <v>9</v>
      </c>
      <c r="B45" s="297" t="s">
        <v>319</v>
      </c>
      <c r="C45" s="278"/>
      <c r="D45" s="278"/>
      <c r="E45" s="19" t="str">
        <f>IF(入力フォーム!B41="","有 ・ 無",入力フォーム!B41)</f>
        <v>無</v>
      </c>
      <c r="F45" s="316"/>
      <c r="G45" s="6"/>
      <c r="H45" s="6"/>
      <c r="I45" s="6"/>
      <c r="J45" s="6"/>
      <c r="K45" s="11" t="s">
        <v>97</v>
      </c>
    </row>
    <row r="46" spans="1:11" x14ac:dyDescent="0.45">
      <c r="A46" s="6"/>
      <c r="B46" s="6" t="s">
        <v>423</v>
      </c>
      <c r="C46" s="6"/>
      <c r="D46" s="6"/>
      <c r="E46" s="6"/>
      <c r="F46" s="6"/>
      <c r="G46" s="6"/>
      <c r="H46" s="6"/>
      <c r="I46" s="6"/>
      <c r="J46" s="6"/>
    </row>
    <row r="47" spans="1:11" x14ac:dyDescent="0.45">
      <c r="A47" s="6"/>
      <c r="B47" s="6" t="s">
        <v>424</v>
      </c>
      <c r="C47" s="6"/>
      <c r="D47" s="6"/>
      <c r="E47" s="6"/>
      <c r="F47" s="6"/>
      <c r="G47" s="6"/>
      <c r="H47" s="6"/>
      <c r="I47" s="6"/>
      <c r="J47" s="6"/>
    </row>
    <row r="48" spans="1:11" ht="6" customHeight="1" x14ac:dyDescent="0.45">
      <c r="A48" s="6"/>
      <c r="B48" s="6"/>
      <c r="C48" s="6"/>
      <c r="D48" s="6"/>
      <c r="E48" s="6"/>
      <c r="F48" s="6"/>
      <c r="G48" s="6"/>
      <c r="H48" s="6"/>
      <c r="I48" s="6"/>
      <c r="J48" s="6"/>
    </row>
    <row r="49" spans="1:11" x14ac:dyDescent="0.45">
      <c r="A49" s="297" t="s">
        <v>10</v>
      </c>
      <c r="B49" s="297" t="s">
        <v>320</v>
      </c>
      <c r="C49" s="278"/>
      <c r="D49" s="278"/>
      <c r="E49" s="6"/>
      <c r="F49" s="6"/>
      <c r="G49" s="6"/>
      <c r="H49" s="6"/>
      <c r="I49" s="6"/>
      <c r="J49" s="6"/>
    </row>
    <row r="50" spans="1:11" ht="24.6" customHeight="1" x14ac:dyDescent="0.45">
      <c r="A50" s="6"/>
      <c r="B50" s="6" t="s">
        <v>321</v>
      </c>
      <c r="C50" s="6"/>
      <c r="D50" s="6"/>
      <c r="E50" s="326" t="str">
        <f>IF(入力フォーム!B42="","",DBCS(TEXT(入力フォーム!B42,"#,##0")))</f>
        <v>３００</v>
      </c>
      <c r="F50" s="327" t="s">
        <v>377</v>
      </c>
      <c r="G50" s="6" t="str">
        <f>IF(入力フォーム!E43="", "（令和　　年　　月末現在）", 入力フォーム!E43)</f>
        <v>（令和６年３月末現在）</v>
      </c>
      <c r="H50" s="6"/>
      <c r="I50" s="6"/>
      <c r="J50" s="6"/>
      <c r="K50" s="11" t="s">
        <v>97</v>
      </c>
    </row>
    <row r="51" spans="1:11" ht="24.6" customHeight="1" x14ac:dyDescent="0.45">
      <c r="A51" s="6"/>
      <c r="B51" s="6" t="s">
        <v>322</v>
      </c>
      <c r="C51" s="6"/>
      <c r="D51" s="6"/>
      <c r="E51" s="326" t="str">
        <f>IF(入力フォーム!B45="","",DBCS(TEXT(入力フォーム!B45,"#,##0")))</f>
        <v/>
      </c>
      <c r="F51" s="327" t="s">
        <v>378</v>
      </c>
      <c r="G51" s="6" t="s">
        <v>449</v>
      </c>
      <c r="H51" s="6"/>
      <c r="I51" s="6"/>
      <c r="J51" s="6"/>
      <c r="K51" s="11" t="s">
        <v>97</v>
      </c>
    </row>
    <row r="52" spans="1:11" x14ac:dyDescent="0.45">
      <c r="A52" s="6"/>
      <c r="B52" s="6" t="s">
        <v>323</v>
      </c>
      <c r="C52" s="299"/>
      <c r="D52" s="299"/>
      <c r="E52" s="6"/>
      <c r="F52" s="6"/>
      <c r="G52" s="6"/>
      <c r="H52" s="6"/>
      <c r="I52" s="6"/>
      <c r="J52" s="6"/>
    </row>
    <row r="53" spans="1:11" ht="14.4" x14ac:dyDescent="0.45">
      <c r="A53" s="72"/>
      <c r="B53" s="72"/>
      <c r="C53" s="72"/>
      <c r="D53" s="72"/>
      <c r="E53" s="72"/>
      <c r="F53" s="72"/>
      <c r="G53" s="72"/>
      <c r="H53" s="72"/>
      <c r="I53" s="72"/>
      <c r="J53" s="72"/>
    </row>
  </sheetData>
  <sheetProtection sheet="1" objects="1" scenarios="1"/>
  <dataConsolidate/>
  <mergeCells count="29">
    <mergeCell ref="G43:J43"/>
    <mergeCell ref="E10:G10"/>
    <mergeCell ref="E17:G17"/>
    <mergeCell ref="F38:H38"/>
    <mergeCell ref="H11:H12"/>
    <mergeCell ref="C36:E36"/>
    <mergeCell ref="H16:H17"/>
    <mergeCell ref="F19:J19"/>
    <mergeCell ref="C34:E34"/>
    <mergeCell ref="C35:E35"/>
    <mergeCell ref="D11:D12"/>
    <mergeCell ref="G32:J32"/>
    <mergeCell ref="G33:J33"/>
    <mergeCell ref="G34:J34"/>
    <mergeCell ref="G35:J35"/>
    <mergeCell ref="C32:E32"/>
    <mergeCell ref="C33:E33"/>
    <mergeCell ref="E12:G12"/>
    <mergeCell ref="F20:J20"/>
    <mergeCell ref="E16:G16"/>
    <mergeCell ref="E11:G11"/>
    <mergeCell ref="E15:G15"/>
    <mergeCell ref="D16:D17"/>
    <mergeCell ref="E18:G18"/>
    <mergeCell ref="I38:J38"/>
    <mergeCell ref="I11:J12"/>
    <mergeCell ref="I15:J15"/>
    <mergeCell ref="I16:J17"/>
    <mergeCell ref="I18:J18"/>
  </mergeCells>
  <phoneticPr fontId="1"/>
  <pageMargins left="0.39370078740157483" right="0.39370078740157483" top="0.39370078740157483" bottom="0.39370078740157483" header="0.31496062992125984" footer="0.31496062992125984"/>
  <pageSetup paperSize="9" scale="96" orientation="portrait" r:id="rId1"/>
  <colBreaks count="1" manualBreakCount="1">
    <brk id="14" max="1048575" man="1"/>
  </colBreaks>
  <ignoredErrors>
    <ignoredError sqref="A38 A43 A45 A4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AF1EC-F47B-494E-88F4-51FF3C4535D9}">
  <sheetPr>
    <pageSetUpPr fitToPage="1"/>
  </sheetPr>
  <dimension ref="A1:U27"/>
  <sheetViews>
    <sheetView workbookViewId="0">
      <selection activeCell="K17" sqref="K17"/>
    </sheetView>
  </sheetViews>
  <sheetFormatPr defaultRowHeight="18" x14ac:dyDescent="0.45"/>
  <cols>
    <col min="2" max="21" width="8.69921875" customWidth="1"/>
  </cols>
  <sheetData>
    <row r="1" spans="1:21" x14ac:dyDescent="0.45">
      <c r="A1" t="s">
        <v>347</v>
      </c>
    </row>
    <row r="2" spans="1:21" ht="18.600000000000001" thickBot="1" x14ac:dyDescent="0.5"/>
    <row r="3" spans="1:21" ht="18.600000000000001" thickBot="1" x14ac:dyDescent="0.5">
      <c r="B3" s="256" t="s">
        <v>348</v>
      </c>
      <c r="C3" s="257"/>
      <c r="D3" s="257"/>
      <c r="E3" s="257"/>
      <c r="F3" s="257"/>
      <c r="G3" s="257"/>
      <c r="H3" s="257"/>
      <c r="I3" s="257"/>
      <c r="J3" s="257"/>
      <c r="K3" s="257"/>
      <c r="L3" s="257"/>
      <c r="M3" s="257"/>
      <c r="N3" s="257"/>
      <c r="O3" s="257"/>
      <c r="P3" s="257"/>
      <c r="Q3" s="257"/>
      <c r="R3" s="257"/>
      <c r="S3" s="257"/>
      <c r="T3" s="257"/>
      <c r="U3" s="258"/>
    </row>
    <row r="4" spans="1:21" x14ac:dyDescent="0.45">
      <c r="B4" s="255"/>
      <c r="C4" s="255" t="s">
        <v>351</v>
      </c>
      <c r="D4" s="255"/>
      <c r="E4" s="255"/>
      <c r="F4" s="255"/>
      <c r="M4" s="254" t="s">
        <v>351</v>
      </c>
    </row>
    <row r="5" spans="1:21" x14ac:dyDescent="0.45">
      <c r="B5" s="255"/>
      <c r="C5" s="255" t="s">
        <v>355</v>
      </c>
      <c r="D5" s="255"/>
      <c r="E5" s="255"/>
      <c r="F5" s="255"/>
      <c r="M5" s="254" t="s">
        <v>351</v>
      </c>
      <c r="N5" s="255" t="s">
        <v>93</v>
      </c>
      <c r="O5" s="255"/>
      <c r="P5" s="255"/>
      <c r="Q5" s="255"/>
      <c r="R5" s="255"/>
      <c r="S5" s="255"/>
      <c r="T5" s="255"/>
    </row>
    <row r="6" spans="1:21" ht="18.600000000000001" thickBot="1" x14ac:dyDescent="0.5">
      <c r="B6" s="255"/>
      <c r="C6" s="255" t="s">
        <v>351</v>
      </c>
      <c r="D6" s="255"/>
      <c r="E6" s="255"/>
      <c r="F6" s="255"/>
      <c r="M6" s="254" t="s">
        <v>351</v>
      </c>
    </row>
    <row r="7" spans="1:21" ht="18.600000000000001" thickBot="1" x14ac:dyDescent="0.5">
      <c r="B7" s="256" t="s">
        <v>349</v>
      </c>
      <c r="C7" s="257"/>
      <c r="D7" s="258"/>
      <c r="E7" s="255"/>
      <c r="F7" s="256" t="s">
        <v>349</v>
      </c>
      <c r="G7" s="257"/>
      <c r="H7" s="257"/>
      <c r="I7" s="257"/>
      <c r="J7" s="257"/>
      <c r="K7" s="257"/>
      <c r="L7" s="257"/>
      <c r="M7" s="257"/>
      <c r="N7" s="257"/>
      <c r="O7" s="257"/>
      <c r="P7" s="257"/>
      <c r="Q7" s="257"/>
      <c r="R7" s="257"/>
      <c r="S7" s="257"/>
      <c r="T7" s="257"/>
      <c r="U7" s="258"/>
    </row>
    <row r="8" spans="1:21" x14ac:dyDescent="0.45">
      <c r="B8" s="255"/>
      <c r="C8" s="255" t="s">
        <v>351</v>
      </c>
      <c r="D8" s="255"/>
      <c r="E8" s="255"/>
      <c r="F8" s="255" t="s">
        <v>351</v>
      </c>
      <c r="L8" s="255" t="s">
        <v>351</v>
      </c>
      <c r="M8" s="254"/>
      <c r="R8" s="255" t="s">
        <v>351</v>
      </c>
      <c r="S8" s="255"/>
      <c r="T8" s="255"/>
    </row>
    <row r="9" spans="1:21" x14ac:dyDescent="0.45">
      <c r="A9" s="358"/>
      <c r="B9" s="255"/>
      <c r="C9" s="255" t="s">
        <v>351</v>
      </c>
      <c r="D9" s="255"/>
      <c r="E9" s="255"/>
      <c r="F9" s="255" t="s">
        <v>513</v>
      </c>
      <c r="L9" s="255" t="s">
        <v>514</v>
      </c>
      <c r="M9" s="254"/>
      <c r="R9" s="255" t="s">
        <v>515</v>
      </c>
      <c r="S9" s="255"/>
      <c r="T9" s="255"/>
    </row>
    <row r="10" spans="1:21" x14ac:dyDescent="0.45">
      <c r="A10" s="358"/>
      <c r="B10" s="255"/>
      <c r="C10" s="255" t="s">
        <v>351</v>
      </c>
      <c r="D10" s="255"/>
      <c r="E10" s="255"/>
      <c r="F10" s="255" t="s">
        <v>516</v>
      </c>
      <c r="L10" s="255" t="s">
        <v>517</v>
      </c>
      <c r="M10" s="254"/>
      <c r="R10" t="s">
        <v>351</v>
      </c>
    </row>
    <row r="11" spans="1:21" x14ac:dyDescent="0.45">
      <c r="A11" s="358"/>
      <c r="B11" s="255"/>
      <c r="C11" s="255" t="s">
        <v>351</v>
      </c>
      <c r="D11" s="255"/>
      <c r="E11" s="255"/>
      <c r="F11" s="255" t="s">
        <v>518</v>
      </c>
      <c r="L11" s="255" t="s">
        <v>519</v>
      </c>
      <c r="M11" s="254"/>
      <c r="R11" t="s">
        <v>351</v>
      </c>
    </row>
    <row r="12" spans="1:21" x14ac:dyDescent="0.45">
      <c r="A12" s="358"/>
      <c r="B12" s="255"/>
      <c r="C12" s="255" t="s">
        <v>351</v>
      </c>
      <c r="D12" s="255"/>
      <c r="E12" s="255"/>
      <c r="F12" s="255" t="s">
        <v>520</v>
      </c>
      <c r="L12" s="255" t="s">
        <v>520</v>
      </c>
      <c r="M12" s="254"/>
      <c r="R12" t="s">
        <v>351</v>
      </c>
    </row>
    <row r="13" spans="1:21" x14ac:dyDescent="0.45">
      <c r="A13" s="358"/>
      <c r="B13" s="255"/>
      <c r="C13" s="255" t="s">
        <v>351</v>
      </c>
      <c r="D13" s="255"/>
      <c r="E13" s="255"/>
      <c r="F13" s="255" t="s">
        <v>521</v>
      </c>
      <c r="L13" s="255" t="s">
        <v>522</v>
      </c>
      <c r="M13" s="255"/>
      <c r="R13" t="s">
        <v>351</v>
      </c>
    </row>
    <row r="14" spans="1:21" x14ac:dyDescent="0.45">
      <c r="A14" s="358"/>
      <c r="B14" s="255"/>
      <c r="C14" s="255" t="s">
        <v>351</v>
      </c>
      <c r="D14" s="255"/>
      <c r="E14" s="255"/>
      <c r="F14" s="255" t="s">
        <v>523</v>
      </c>
      <c r="L14" s="255" t="s">
        <v>523</v>
      </c>
      <c r="M14" s="255"/>
      <c r="R14" s="255" t="s">
        <v>351</v>
      </c>
    </row>
    <row r="15" spans="1:21" x14ac:dyDescent="0.45">
      <c r="A15" s="358"/>
      <c r="B15" s="255"/>
      <c r="C15" s="255" t="s">
        <v>524</v>
      </c>
      <c r="D15" s="255"/>
      <c r="E15" s="255"/>
      <c r="F15" s="255" t="s">
        <v>525</v>
      </c>
      <c r="L15" s="255" t="s">
        <v>526</v>
      </c>
      <c r="M15" s="255"/>
      <c r="R15" s="255" t="s">
        <v>351</v>
      </c>
    </row>
    <row r="16" spans="1:21" ht="18.600000000000001" thickBot="1" x14ac:dyDescent="0.5">
      <c r="A16" s="358"/>
      <c r="B16" s="255"/>
      <c r="C16" s="255" t="s">
        <v>527</v>
      </c>
      <c r="D16" s="255"/>
      <c r="E16" s="255"/>
      <c r="F16" s="255" t="s">
        <v>351</v>
      </c>
      <c r="L16" s="255" t="s">
        <v>351</v>
      </c>
      <c r="M16" s="254"/>
      <c r="R16" t="s">
        <v>351</v>
      </c>
    </row>
    <row r="17" spans="1:21" ht="18.600000000000001" thickBot="1" x14ac:dyDescent="0.5">
      <c r="A17" s="358"/>
      <c r="B17" s="255"/>
      <c r="C17" s="255" t="s">
        <v>351</v>
      </c>
      <c r="D17" s="255"/>
      <c r="E17" s="255"/>
      <c r="F17" s="255" t="s">
        <v>351</v>
      </c>
      <c r="G17" s="256" t="s">
        <v>528</v>
      </c>
      <c r="H17" s="257"/>
      <c r="I17" s="257"/>
      <c r="J17" s="257"/>
      <c r="K17" s="257"/>
      <c r="L17" s="257"/>
      <c r="M17" s="258"/>
      <c r="R17" t="s">
        <v>351</v>
      </c>
    </row>
    <row r="18" spans="1:21" x14ac:dyDescent="0.45">
      <c r="A18" s="358"/>
      <c r="B18" s="255"/>
      <c r="C18" s="255" t="s">
        <v>351</v>
      </c>
      <c r="D18" s="255"/>
      <c r="E18" s="255"/>
      <c r="F18" s="255" t="s">
        <v>351</v>
      </c>
      <c r="G18" t="s">
        <v>351</v>
      </c>
      <c r="M18" t="s">
        <v>351</v>
      </c>
      <c r="R18" t="s">
        <v>351</v>
      </c>
    </row>
    <row r="19" spans="1:21" x14ac:dyDescent="0.45">
      <c r="A19" s="358"/>
      <c r="B19" s="255"/>
      <c r="C19" s="255" t="s">
        <v>351</v>
      </c>
      <c r="D19" s="255"/>
      <c r="E19" s="255"/>
      <c r="F19" s="255" t="s">
        <v>351</v>
      </c>
      <c r="G19" t="s">
        <v>529</v>
      </c>
      <c r="L19" s="255"/>
      <c r="M19" s="255" t="s">
        <v>530</v>
      </c>
      <c r="N19" s="359"/>
      <c r="O19" s="359"/>
      <c r="P19" s="359"/>
      <c r="Q19" s="359"/>
      <c r="R19" t="s">
        <v>351</v>
      </c>
      <c r="U19" s="359"/>
    </row>
    <row r="20" spans="1:21" x14ac:dyDescent="0.45">
      <c r="A20" s="358"/>
      <c r="B20" s="255"/>
      <c r="C20" s="255" t="s">
        <v>351</v>
      </c>
      <c r="D20" s="255"/>
      <c r="E20" s="255"/>
      <c r="F20" s="255" t="s">
        <v>351</v>
      </c>
      <c r="G20" t="s">
        <v>531</v>
      </c>
      <c r="L20" s="255"/>
      <c r="M20" s="255" t="s">
        <v>532</v>
      </c>
      <c r="R20" t="s">
        <v>351</v>
      </c>
    </row>
    <row r="21" spans="1:21" x14ac:dyDescent="0.45">
      <c r="A21" s="358"/>
      <c r="B21" s="255"/>
      <c r="C21" s="255" t="s">
        <v>351</v>
      </c>
      <c r="D21" s="255"/>
      <c r="E21" s="255"/>
      <c r="F21" s="255" t="s">
        <v>351</v>
      </c>
      <c r="G21" t="s">
        <v>533</v>
      </c>
      <c r="L21" s="255"/>
      <c r="M21" s="255" t="s">
        <v>351</v>
      </c>
      <c r="R21" t="s">
        <v>351</v>
      </c>
    </row>
    <row r="22" spans="1:21" ht="18.600000000000001" thickBot="1" x14ac:dyDescent="0.5">
      <c r="A22" s="358"/>
      <c r="B22" s="255"/>
      <c r="C22" s="255" t="s">
        <v>351</v>
      </c>
      <c r="D22" s="255"/>
      <c r="E22" s="255"/>
      <c r="F22" s="255" t="s">
        <v>351</v>
      </c>
      <c r="G22" t="s">
        <v>351</v>
      </c>
      <c r="M22" t="s">
        <v>351</v>
      </c>
      <c r="R22" t="s">
        <v>351</v>
      </c>
    </row>
    <row r="23" spans="1:21" ht="18.600000000000001" thickBot="1" x14ac:dyDescent="0.5">
      <c r="A23" s="358"/>
      <c r="B23" s="255"/>
      <c r="C23" s="255" t="s">
        <v>351</v>
      </c>
      <c r="D23" s="255"/>
      <c r="E23" s="255"/>
      <c r="F23" s="255" t="s">
        <v>351</v>
      </c>
      <c r="G23" t="s">
        <v>351</v>
      </c>
      <c r="H23" s="256" t="s">
        <v>534</v>
      </c>
      <c r="I23" s="257"/>
      <c r="J23" s="257"/>
      <c r="K23" s="257"/>
      <c r="L23" s="257"/>
      <c r="M23" s="257"/>
      <c r="N23" s="257"/>
      <c r="O23" s="257"/>
      <c r="P23" s="257"/>
      <c r="Q23" s="257"/>
      <c r="R23" s="257"/>
      <c r="S23" s="257"/>
      <c r="T23" s="257"/>
      <c r="U23" s="258"/>
    </row>
    <row r="24" spans="1:21" x14ac:dyDescent="0.45">
      <c r="A24" s="358"/>
      <c r="B24" s="255"/>
      <c r="C24" s="255" t="s">
        <v>351</v>
      </c>
      <c r="D24" s="255"/>
      <c r="E24" s="255"/>
      <c r="F24" s="255" t="s">
        <v>351</v>
      </c>
      <c r="G24" t="s">
        <v>351</v>
      </c>
      <c r="H24" s="255"/>
      <c r="I24" s="255"/>
      <c r="J24" s="255"/>
      <c r="K24" s="255" t="s">
        <v>351</v>
      </c>
      <c r="R24" t="s">
        <v>351</v>
      </c>
    </row>
    <row r="25" spans="1:21" x14ac:dyDescent="0.45">
      <c r="A25" s="358"/>
      <c r="B25" s="255"/>
      <c r="C25" s="255" t="s">
        <v>351</v>
      </c>
      <c r="D25" s="255"/>
      <c r="E25" s="255"/>
      <c r="F25" s="255" t="s">
        <v>351</v>
      </c>
      <c r="G25" t="s">
        <v>351</v>
      </c>
      <c r="H25" s="255"/>
      <c r="I25" s="255"/>
      <c r="J25" s="255"/>
      <c r="K25" s="255" t="s">
        <v>352</v>
      </c>
      <c r="R25" t="s">
        <v>353</v>
      </c>
    </row>
    <row r="26" spans="1:21" ht="18.600000000000001" thickBot="1" x14ac:dyDescent="0.5">
      <c r="A26" s="358"/>
      <c r="B26" s="255"/>
      <c r="C26" s="255" t="s">
        <v>351</v>
      </c>
      <c r="D26" s="255"/>
      <c r="E26" s="255"/>
      <c r="F26" s="255" t="s">
        <v>351</v>
      </c>
      <c r="G26" t="s">
        <v>351</v>
      </c>
      <c r="H26" s="255"/>
      <c r="I26" s="255"/>
      <c r="J26" s="255"/>
      <c r="K26" s="255" t="s">
        <v>351</v>
      </c>
      <c r="R26" t="s">
        <v>351</v>
      </c>
    </row>
    <row r="27" spans="1:21" ht="18.600000000000001" thickBot="1" x14ac:dyDescent="0.5">
      <c r="B27" s="256" t="s">
        <v>350</v>
      </c>
      <c r="C27" s="257"/>
      <c r="D27" s="257"/>
      <c r="E27" s="257"/>
      <c r="F27" s="257"/>
      <c r="G27" s="257"/>
      <c r="H27" s="258"/>
      <c r="I27" s="258"/>
      <c r="J27" s="258"/>
      <c r="K27" s="258"/>
      <c r="M27" s="256" t="s">
        <v>354</v>
      </c>
      <c r="N27" s="257"/>
      <c r="O27" s="257"/>
      <c r="P27" s="257"/>
      <c r="Q27" s="257"/>
      <c r="R27" s="257"/>
      <c r="S27" s="257"/>
      <c r="T27" s="257"/>
      <c r="U27" s="258"/>
    </row>
  </sheetData>
  <sheetProtection sheet="1" objects="1" scenarios="1"/>
  <phoneticPr fontId="1"/>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31"/>
  <sheetViews>
    <sheetView view="pageBreakPreview" zoomScaleNormal="100" zoomScaleSheetLayoutView="100" workbookViewId="0">
      <selection activeCell="L23" sqref="L23"/>
    </sheetView>
  </sheetViews>
  <sheetFormatPr defaultRowHeight="13.2" x14ac:dyDescent="0.45"/>
  <cols>
    <col min="1" max="1" width="4.59765625" style="6" customWidth="1"/>
    <col min="2" max="2" width="9.59765625" style="6" customWidth="1"/>
    <col min="3" max="3" width="8.69921875" style="6" customWidth="1"/>
    <col min="4" max="4" width="7.69921875" style="6" customWidth="1"/>
    <col min="5" max="5" width="8.19921875" style="6" customWidth="1"/>
    <col min="6" max="6" width="8.09765625" style="6" customWidth="1"/>
    <col min="7" max="7" width="2.59765625" style="6" customWidth="1"/>
    <col min="8" max="11" width="7.09765625" style="6" customWidth="1"/>
    <col min="12" max="16384" width="8.796875" style="6"/>
  </cols>
  <sheetData>
    <row r="2" spans="1:13" x14ac:dyDescent="0.45">
      <c r="A2" s="5"/>
    </row>
    <row r="4" spans="1:13" ht="16.2" x14ac:dyDescent="0.45">
      <c r="A4" s="7" t="s">
        <v>17</v>
      </c>
    </row>
    <row r="6" spans="1:13" x14ac:dyDescent="0.45">
      <c r="A6" s="6" t="s">
        <v>469</v>
      </c>
    </row>
    <row r="7" spans="1:13" x14ac:dyDescent="0.45">
      <c r="A7" s="6" t="s">
        <v>15</v>
      </c>
    </row>
    <row r="8" spans="1:13" x14ac:dyDescent="0.45">
      <c r="A8" s="6" t="s">
        <v>470</v>
      </c>
    </row>
    <row r="9" spans="1:13" x14ac:dyDescent="0.45">
      <c r="A9" s="6" t="s">
        <v>16</v>
      </c>
    </row>
    <row r="10" spans="1:13" ht="39.6" x14ac:dyDescent="0.45">
      <c r="A10" s="353" t="s">
        <v>462</v>
      </c>
      <c r="B10" s="432" t="s">
        <v>463</v>
      </c>
      <c r="C10" s="434"/>
      <c r="D10" s="353" t="s">
        <v>464</v>
      </c>
      <c r="E10" s="432" t="s">
        <v>465</v>
      </c>
      <c r="F10" s="433"/>
      <c r="G10" s="434"/>
      <c r="H10" s="393" t="s">
        <v>466</v>
      </c>
      <c r="I10" s="394"/>
      <c r="J10" s="393" t="s">
        <v>467</v>
      </c>
      <c r="K10" s="394"/>
      <c r="L10" s="353" t="s">
        <v>468</v>
      </c>
    </row>
    <row r="11" spans="1:13" ht="52.2" customHeight="1" x14ac:dyDescent="0.45">
      <c r="A11" s="8" t="str">
        <f>IF(B11="", "",1)</f>
        <v/>
      </c>
      <c r="B11" s="432" t="str">
        <f>入力フォーム!B46&amp;""</f>
        <v/>
      </c>
      <c r="C11" s="434"/>
      <c r="D11" s="19" t="str">
        <f>入力フォーム!B47&amp;""</f>
        <v/>
      </c>
      <c r="E11" s="393"/>
      <c r="F11" s="438"/>
      <c r="G11" s="9" t="s">
        <v>14</v>
      </c>
      <c r="H11" s="430" t="str">
        <f>入力フォーム!B48&amp;""</f>
        <v/>
      </c>
      <c r="I11" s="431"/>
      <c r="J11" s="393" t="str">
        <f>入力フォーム!B49&amp;""</f>
        <v/>
      </c>
      <c r="K11" s="394"/>
      <c r="L11" s="19" t="str">
        <f>TEXT(入力フォーム!B50&amp;"","#,##0")</f>
        <v/>
      </c>
      <c r="M11" s="6" t="s">
        <v>99</v>
      </c>
    </row>
    <row r="12" spans="1:13" ht="52.2" customHeight="1" x14ac:dyDescent="0.45">
      <c r="A12" s="8" t="str">
        <f>IF(B12="", "",2)</f>
        <v/>
      </c>
      <c r="B12" s="432" t="str">
        <f>入力フォーム!B51&amp;""</f>
        <v/>
      </c>
      <c r="C12" s="434"/>
      <c r="D12" s="19" t="str">
        <f>入力フォーム!B52&amp;""</f>
        <v/>
      </c>
      <c r="E12" s="393"/>
      <c r="F12" s="438"/>
      <c r="G12" s="9" t="s">
        <v>14</v>
      </c>
      <c r="H12" s="430" t="str">
        <f>入力フォーム!B53&amp;""</f>
        <v/>
      </c>
      <c r="I12" s="431"/>
      <c r="J12" s="393" t="str">
        <f>入力フォーム!B54&amp;""</f>
        <v/>
      </c>
      <c r="K12" s="394"/>
      <c r="L12" s="19" t="str">
        <f>TEXT(入力フォーム!B55&amp;"","#,##0")</f>
        <v/>
      </c>
      <c r="M12" s="6" t="s">
        <v>99</v>
      </c>
    </row>
    <row r="13" spans="1:13" ht="52.2" customHeight="1" x14ac:dyDescent="0.45">
      <c r="A13" s="8" t="str">
        <f>IF(B13="", "",3)</f>
        <v/>
      </c>
      <c r="B13" s="432" t="str">
        <f>入力フォーム!B56&amp;""</f>
        <v/>
      </c>
      <c r="C13" s="434"/>
      <c r="D13" s="19" t="str">
        <f>入力フォーム!B57&amp;""</f>
        <v/>
      </c>
      <c r="E13" s="393"/>
      <c r="F13" s="438"/>
      <c r="G13" s="9" t="s">
        <v>14</v>
      </c>
      <c r="H13" s="430" t="str">
        <f>入力フォーム!B58&amp;""</f>
        <v/>
      </c>
      <c r="I13" s="431"/>
      <c r="J13" s="393" t="str">
        <f>入力フォーム!B59&amp;""</f>
        <v/>
      </c>
      <c r="K13" s="394"/>
      <c r="L13" s="19" t="str">
        <f>TEXT(入力フォーム!B60&amp;"","#,##0")</f>
        <v/>
      </c>
      <c r="M13" s="6" t="s">
        <v>99</v>
      </c>
    </row>
    <row r="14" spans="1:13" ht="52.2" customHeight="1" x14ac:dyDescent="0.45">
      <c r="A14" s="8" t="str">
        <f>IF(B14="", "",4)</f>
        <v/>
      </c>
      <c r="B14" s="432" t="str">
        <f>入力フォーム!B61&amp;""</f>
        <v/>
      </c>
      <c r="C14" s="434"/>
      <c r="D14" s="19" t="str">
        <f>入力フォーム!B62&amp;""</f>
        <v/>
      </c>
      <c r="E14" s="393"/>
      <c r="F14" s="438"/>
      <c r="G14" s="9" t="s">
        <v>14</v>
      </c>
      <c r="H14" s="430" t="str">
        <f>入力フォーム!B63&amp;""</f>
        <v/>
      </c>
      <c r="I14" s="431"/>
      <c r="J14" s="393" t="str">
        <f>入力フォーム!B64&amp;""</f>
        <v/>
      </c>
      <c r="K14" s="394"/>
      <c r="L14" s="19" t="str">
        <f>TEXT(入力フォーム!B65&amp;"","#,##0")</f>
        <v/>
      </c>
      <c r="M14" s="6" t="s">
        <v>99</v>
      </c>
    </row>
    <row r="15" spans="1:13" ht="52.2" customHeight="1" x14ac:dyDescent="0.45">
      <c r="A15" s="8" t="str">
        <f>IF(B15="", "",5)</f>
        <v/>
      </c>
      <c r="B15" s="432" t="str">
        <f>入力フォーム!B66&amp;""</f>
        <v/>
      </c>
      <c r="C15" s="434"/>
      <c r="D15" s="19" t="str">
        <f>入力フォーム!B67&amp;""</f>
        <v/>
      </c>
      <c r="E15" s="393"/>
      <c r="F15" s="438"/>
      <c r="G15" s="9" t="s">
        <v>14</v>
      </c>
      <c r="H15" s="430" t="str">
        <f>入力フォーム!B68&amp;""</f>
        <v/>
      </c>
      <c r="I15" s="431"/>
      <c r="J15" s="393" t="str">
        <f>入力フォーム!B69&amp;""</f>
        <v/>
      </c>
      <c r="K15" s="394"/>
      <c r="L15" s="19" t="str">
        <f>TEXT(入力フォーム!B70&amp;"","#,##0")</f>
        <v/>
      </c>
      <c r="M15" s="6" t="s">
        <v>99</v>
      </c>
    </row>
    <row r="16" spans="1:13" ht="52.2" customHeight="1" x14ac:dyDescent="0.45">
      <c r="A16" s="8" t="str">
        <f>IF(B16="", "",6)</f>
        <v/>
      </c>
      <c r="B16" s="432" t="str">
        <f>入力フォーム!B71&amp;""</f>
        <v/>
      </c>
      <c r="C16" s="434"/>
      <c r="D16" s="19" t="str">
        <f>入力フォーム!B72&amp;""</f>
        <v/>
      </c>
      <c r="E16" s="393"/>
      <c r="F16" s="438"/>
      <c r="G16" s="9" t="s">
        <v>14</v>
      </c>
      <c r="H16" s="430" t="str">
        <f>入力フォーム!B73&amp;""</f>
        <v/>
      </c>
      <c r="I16" s="431"/>
      <c r="J16" s="393" t="str">
        <f>入力フォーム!B74&amp;""</f>
        <v/>
      </c>
      <c r="K16" s="394"/>
      <c r="L16" s="19" t="str">
        <f>TEXT(入力フォーム!B75&amp;"","#,##0")</f>
        <v/>
      </c>
      <c r="M16" s="6" t="s">
        <v>99</v>
      </c>
    </row>
    <row r="17" spans="1:13" ht="52.2" customHeight="1" x14ac:dyDescent="0.45">
      <c r="A17" s="8" t="str">
        <f>IF(B17="", "",7)</f>
        <v/>
      </c>
      <c r="B17" s="432" t="str">
        <f>入力フォーム!B76&amp;""</f>
        <v/>
      </c>
      <c r="C17" s="434"/>
      <c r="D17" s="19" t="str">
        <f>入力フォーム!B77&amp;""</f>
        <v/>
      </c>
      <c r="E17" s="393"/>
      <c r="F17" s="438"/>
      <c r="G17" s="9" t="s">
        <v>14</v>
      </c>
      <c r="H17" s="430" t="str">
        <f>入力フォーム!B78&amp;""</f>
        <v/>
      </c>
      <c r="I17" s="431"/>
      <c r="J17" s="393" t="str">
        <f>入力フォーム!B79&amp;""</f>
        <v/>
      </c>
      <c r="K17" s="394"/>
      <c r="L17" s="19" t="str">
        <f>TEXT(入力フォーム!B80&amp;"","#,##0")</f>
        <v/>
      </c>
      <c r="M17" s="6" t="s">
        <v>99</v>
      </c>
    </row>
    <row r="18" spans="1:13" ht="7.2" customHeight="1" x14ac:dyDescent="0.45">
      <c r="B18" s="350"/>
      <c r="C18" s="350"/>
      <c r="D18" s="316"/>
      <c r="E18" s="316"/>
      <c r="F18" s="316"/>
      <c r="G18" s="316"/>
      <c r="H18" s="352"/>
      <c r="I18" s="352"/>
      <c r="J18" s="316"/>
      <c r="K18" s="316"/>
      <c r="L18" s="316"/>
    </row>
    <row r="19" spans="1:13" x14ac:dyDescent="0.45">
      <c r="B19" s="6" t="s">
        <v>459</v>
      </c>
    </row>
    <row r="20" spans="1:13" x14ac:dyDescent="0.45">
      <c r="B20" s="435" t="s">
        <v>461</v>
      </c>
      <c r="C20" s="435"/>
      <c r="D20" s="435"/>
      <c r="E20" s="435"/>
      <c r="F20" s="435"/>
      <c r="G20" s="435"/>
      <c r="H20" s="435"/>
      <c r="I20" s="435"/>
      <c r="J20" s="435"/>
      <c r="K20" s="435"/>
      <c r="L20" s="435"/>
    </row>
    <row r="21" spans="1:13" ht="27" customHeight="1" x14ac:dyDescent="0.45">
      <c r="B21" s="436" t="s">
        <v>475</v>
      </c>
      <c r="C21" s="436"/>
      <c r="D21" s="436"/>
      <c r="E21" s="436"/>
      <c r="F21" s="436"/>
      <c r="G21" s="436"/>
      <c r="H21" s="436"/>
      <c r="I21" s="436"/>
      <c r="J21" s="436"/>
      <c r="K21" s="436"/>
      <c r="L21" s="436"/>
    </row>
    <row r="22" spans="1:13" x14ac:dyDescent="0.45">
      <c r="B22" s="432" t="s">
        <v>460</v>
      </c>
      <c r="C22" s="433"/>
      <c r="D22" s="434"/>
      <c r="E22" s="344" t="s">
        <v>452</v>
      </c>
      <c r="F22" s="344" t="s">
        <v>453</v>
      </c>
      <c r="G22" s="437" t="s">
        <v>454</v>
      </c>
      <c r="H22" s="437"/>
      <c r="I22" s="344" t="s">
        <v>455</v>
      </c>
      <c r="J22" s="344" t="s">
        <v>456</v>
      </c>
      <c r="K22" s="344" t="s">
        <v>457</v>
      </c>
      <c r="L22" s="344" t="s">
        <v>458</v>
      </c>
    </row>
    <row r="23" spans="1:13" ht="28.05" customHeight="1" x14ac:dyDescent="0.45">
      <c r="A23" s="350"/>
      <c r="B23" s="427" t="str">
        <f>IF(OR(入力フォーム!D36="Ｃ",入力フォーム!D36="Ｄ"),入力フォーム!B2,"(申請団体)")</f>
        <v>(申請団体)</v>
      </c>
      <c r="C23" s="427"/>
      <c r="D23" s="427"/>
      <c r="E23" s="351" t="str">
        <f>IF(入力フォーム!B83="☑","☑","")</f>
        <v/>
      </c>
      <c r="F23" s="351" t="str">
        <f>IF(入力フォーム!B84="☑","☑","")</f>
        <v/>
      </c>
      <c r="G23" s="428" t="str">
        <f>IF(入力フォーム!B85="☑","☑","")</f>
        <v/>
      </c>
      <c r="H23" s="429"/>
      <c r="I23" s="351" t="str">
        <f>IF(入力フォーム!B86="☑","☑","")</f>
        <v/>
      </c>
      <c r="J23" s="351" t="str">
        <f>IF(入力フォーム!B87="☑","☑","")</f>
        <v/>
      </c>
      <c r="K23" s="351" t="str">
        <f>IF(入力フォーム!B88="☑","☑","")</f>
        <v/>
      </c>
      <c r="L23" s="351" t="str">
        <f>IF(入力フォーム!B89="☑","☑","")</f>
        <v/>
      </c>
    </row>
    <row r="24" spans="1:13" ht="28.05" customHeight="1" x14ac:dyDescent="0.45">
      <c r="B24" s="427" t="str">
        <f>B11</f>
        <v/>
      </c>
      <c r="C24" s="427"/>
      <c r="D24" s="427"/>
      <c r="E24" s="351" t="str">
        <f>IF(入力フォーム!B91="☑","☑","")</f>
        <v/>
      </c>
      <c r="F24" s="351" t="str">
        <f>IF(入力フォーム!B92="☑","☑","")</f>
        <v/>
      </c>
      <c r="G24" s="428" t="str">
        <f>IF(入力フォーム!B93="☑","☑","")</f>
        <v/>
      </c>
      <c r="H24" s="429"/>
      <c r="I24" s="351" t="str">
        <f>IF(入力フォーム!B94="☑","☑","")</f>
        <v/>
      </c>
      <c r="J24" s="351" t="str">
        <f>IF(入力フォーム!B95="☑","☑","")</f>
        <v/>
      </c>
      <c r="K24" s="351" t="str">
        <f>IF(入力フォーム!B96="☑","☑","")</f>
        <v/>
      </c>
      <c r="L24" s="351" t="str">
        <f>IF(入力フォーム!B97="☑","☑","")</f>
        <v/>
      </c>
    </row>
    <row r="25" spans="1:13" ht="28.05" customHeight="1" x14ac:dyDescent="0.45">
      <c r="B25" s="427" t="str">
        <f t="shared" ref="B25:B30" si="0">B12</f>
        <v/>
      </c>
      <c r="C25" s="427"/>
      <c r="D25" s="427"/>
      <c r="E25" s="351" t="str">
        <f>IF(入力フォーム!B99="☑","☑","")</f>
        <v/>
      </c>
      <c r="F25" s="351" t="str">
        <f>IF(入力フォーム!B100="☑","☑","")</f>
        <v/>
      </c>
      <c r="G25" s="428" t="str">
        <f>IF(入力フォーム!B101="☑","☑","")</f>
        <v/>
      </c>
      <c r="H25" s="429"/>
      <c r="I25" s="351" t="str">
        <f>IF(入力フォーム!B102="☑","☑","")</f>
        <v/>
      </c>
      <c r="J25" s="351" t="str">
        <f>IF(入力フォーム!B103="☑","☑","")</f>
        <v/>
      </c>
      <c r="K25" s="351" t="str">
        <f>IF(入力フォーム!B104="☑","☑","")</f>
        <v/>
      </c>
      <c r="L25" s="351" t="str">
        <f>IF(入力フォーム!B105="☑","☑","")</f>
        <v/>
      </c>
    </row>
    <row r="26" spans="1:13" ht="28.05" customHeight="1" x14ac:dyDescent="0.45">
      <c r="B26" s="427" t="str">
        <f t="shared" si="0"/>
        <v/>
      </c>
      <c r="C26" s="427"/>
      <c r="D26" s="427"/>
      <c r="E26" s="351" t="str">
        <f>IF(入力フォーム!B107="☑","☑","")</f>
        <v/>
      </c>
      <c r="F26" s="351" t="str">
        <f>IF(入力フォーム!B108="☑","☑","")</f>
        <v/>
      </c>
      <c r="G26" s="428" t="str">
        <f>IF(入力フォーム!B109="☑","☑","")</f>
        <v/>
      </c>
      <c r="H26" s="429"/>
      <c r="I26" s="351" t="str">
        <f>IF(入力フォーム!B110="☑","☑","")</f>
        <v/>
      </c>
      <c r="J26" s="351" t="str">
        <f>IF(入力フォーム!B111="☑","☑","")</f>
        <v/>
      </c>
      <c r="K26" s="351" t="str">
        <f>IF(入力フォーム!B112="☑","☑","")</f>
        <v/>
      </c>
      <c r="L26" s="351" t="str">
        <f>IF(入力フォーム!B113="☑","☑","")</f>
        <v/>
      </c>
    </row>
    <row r="27" spans="1:13" ht="28.05" customHeight="1" x14ac:dyDescent="0.45">
      <c r="B27" s="427" t="str">
        <f t="shared" si="0"/>
        <v/>
      </c>
      <c r="C27" s="427"/>
      <c r="D27" s="427"/>
      <c r="E27" s="351" t="str">
        <f>IF(入力フォーム!B115="☑","☑","")</f>
        <v/>
      </c>
      <c r="F27" s="351" t="str">
        <f>IF(入力フォーム!B116="☑","☑","")</f>
        <v/>
      </c>
      <c r="G27" s="428" t="str">
        <f>IF(入力フォーム!B117="☑","☑","")</f>
        <v/>
      </c>
      <c r="H27" s="429"/>
      <c r="I27" s="351" t="str">
        <f>IF(入力フォーム!B118="☑","☑","")</f>
        <v/>
      </c>
      <c r="J27" s="351" t="str">
        <f>IF(入力フォーム!B119="☑","☑","")</f>
        <v/>
      </c>
      <c r="K27" s="351" t="str">
        <f>IF(入力フォーム!B120="☑","☑","")</f>
        <v/>
      </c>
      <c r="L27" s="351" t="str">
        <f>IF(入力フォーム!B121="☑","☑","")</f>
        <v/>
      </c>
    </row>
    <row r="28" spans="1:13" ht="28.05" customHeight="1" x14ac:dyDescent="0.45">
      <c r="B28" s="427" t="str">
        <f t="shared" si="0"/>
        <v/>
      </c>
      <c r="C28" s="427"/>
      <c r="D28" s="427"/>
      <c r="E28" s="351" t="str">
        <f>IF(入力フォーム!B123="☑","☑","")</f>
        <v/>
      </c>
      <c r="F28" s="351" t="str">
        <f>IF(入力フォーム!B124="☑","☑","")</f>
        <v/>
      </c>
      <c r="G28" s="428" t="str">
        <f>IF(入力フォーム!B125="☑","☑","")</f>
        <v/>
      </c>
      <c r="H28" s="429"/>
      <c r="I28" s="351" t="str">
        <f>IF(入力フォーム!B126="☑","☑","")</f>
        <v/>
      </c>
      <c r="J28" s="351" t="str">
        <f>IF(入力フォーム!B127="☑","☑","")</f>
        <v/>
      </c>
      <c r="K28" s="351" t="str">
        <f>IF(入力フォーム!B128="☑","☑","")</f>
        <v/>
      </c>
      <c r="L28" s="351" t="str">
        <f>IF(入力フォーム!B129="☑","☑","")</f>
        <v/>
      </c>
    </row>
    <row r="29" spans="1:13" ht="28.05" customHeight="1" x14ac:dyDescent="0.45">
      <c r="B29" s="427" t="str">
        <f t="shared" si="0"/>
        <v/>
      </c>
      <c r="C29" s="427"/>
      <c r="D29" s="427"/>
      <c r="E29" s="351" t="str">
        <f>IF(入力フォーム!B131="☑","☑","")</f>
        <v/>
      </c>
      <c r="F29" s="351" t="str">
        <f>IF(入力フォーム!B132="☑","☑","")</f>
        <v/>
      </c>
      <c r="G29" s="428" t="str">
        <f>IF(入力フォーム!B133="☑","☑","")</f>
        <v/>
      </c>
      <c r="H29" s="429"/>
      <c r="I29" s="351" t="str">
        <f>IF(入力フォーム!B134="☑","☑","")</f>
        <v/>
      </c>
      <c r="J29" s="351" t="str">
        <f>IF(入力フォーム!B135="☑","☑","")</f>
        <v/>
      </c>
      <c r="K29" s="351" t="str">
        <f>IF(入力フォーム!B136="☑","☑","")</f>
        <v/>
      </c>
      <c r="L29" s="351" t="str">
        <f>IF(入力フォーム!B137="☑","☑","")</f>
        <v/>
      </c>
    </row>
    <row r="30" spans="1:13" ht="28.05" customHeight="1" x14ac:dyDescent="0.45">
      <c r="B30" s="427" t="str">
        <f t="shared" si="0"/>
        <v/>
      </c>
      <c r="C30" s="427"/>
      <c r="D30" s="427"/>
      <c r="E30" s="351" t="str">
        <f>IF(入力フォーム!B139="☑","☑","")</f>
        <v/>
      </c>
      <c r="F30" s="351" t="str">
        <f>IF(入力フォーム!B140="☑","☑","")</f>
        <v/>
      </c>
      <c r="G30" s="428" t="str">
        <f>IF(入力フォーム!B141="☑","☑","")</f>
        <v/>
      </c>
      <c r="H30" s="429"/>
      <c r="I30" s="351" t="str">
        <f>IF(入力フォーム!B142="☑","☑","")</f>
        <v/>
      </c>
      <c r="J30" s="351" t="str">
        <f>IF(入力フォーム!B143="☑","☑","")</f>
        <v/>
      </c>
      <c r="K30" s="351" t="str">
        <f>IF(入力フォーム!B144="☑","☑","")</f>
        <v/>
      </c>
      <c r="L30" s="351" t="str">
        <f>IF(入力フォーム!B145="☑","☑","")</f>
        <v/>
      </c>
    </row>
    <row r="31" spans="1:13" x14ac:dyDescent="0.45">
      <c r="B31" s="6" t="s">
        <v>474</v>
      </c>
    </row>
  </sheetData>
  <sheetProtection sheet="1" objects="1" scenarios="1"/>
  <mergeCells count="52">
    <mergeCell ref="B13:C13"/>
    <mergeCell ref="B14:C14"/>
    <mergeCell ref="B15:C15"/>
    <mergeCell ref="H11:I11"/>
    <mergeCell ref="B17:C17"/>
    <mergeCell ref="B16:C16"/>
    <mergeCell ref="E11:F11"/>
    <mergeCell ref="E12:F12"/>
    <mergeCell ref="E13:F13"/>
    <mergeCell ref="E14:F14"/>
    <mergeCell ref="E15:F15"/>
    <mergeCell ref="E16:F16"/>
    <mergeCell ref="E17:F17"/>
    <mergeCell ref="G26:H26"/>
    <mergeCell ref="B27:D27"/>
    <mergeCell ref="B28:D28"/>
    <mergeCell ref="B29:D29"/>
    <mergeCell ref="H14:I14"/>
    <mergeCell ref="H15:I15"/>
    <mergeCell ref="H16:I16"/>
    <mergeCell ref="B30:D30"/>
    <mergeCell ref="B26:D26"/>
    <mergeCell ref="B10:C10"/>
    <mergeCell ref="E10:G10"/>
    <mergeCell ref="H10:I10"/>
    <mergeCell ref="G27:H27"/>
    <mergeCell ref="G28:H28"/>
    <mergeCell ref="G29:H29"/>
    <mergeCell ref="G30:H30"/>
    <mergeCell ref="B20:L20"/>
    <mergeCell ref="B21:L21"/>
    <mergeCell ref="G22:H22"/>
    <mergeCell ref="G23:H23"/>
    <mergeCell ref="G24:H24"/>
    <mergeCell ref="B23:D23"/>
    <mergeCell ref="B24:D24"/>
    <mergeCell ref="J10:K10"/>
    <mergeCell ref="B25:D25"/>
    <mergeCell ref="G25:H25"/>
    <mergeCell ref="H17:I17"/>
    <mergeCell ref="J11:K11"/>
    <mergeCell ref="J12:K12"/>
    <mergeCell ref="J13:K13"/>
    <mergeCell ref="J14:K14"/>
    <mergeCell ref="J15:K15"/>
    <mergeCell ref="J16:K16"/>
    <mergeCell ref="J17:K17"/>
    <mergeCell ref="H12:I12"/>
    <mergeCell ref="H13:I13"/>
    <mergeCell ref="B22:D22"/>
    <mergeCell ref="B11:C11"/>
    <mergeCell ref="B12:C12"/>
  </mergeCells>
  <phoneticPr fontId="1"/>
  <printOptions horizontalCentered="1"/>
  <pageMargins left="0.51181102362204722" right="0.51181102362204722" top="0.39370078740157483" bottom="0.39370078740157483"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N32"/>
  <sheetViews>
    <sheetView view="pageBreakPreview" topLeftCell="A16" zoomScaleNormal="100" zoomScaleSheetLayoutView="100" workbookViewId="0">
      <selection activeCell="B26" sqref="B26:I26"/>
    </sheetView>
  </sheetViews>
  <sheetFormatPr defaultRowHeight="12" x14ac:dyDescent="0.45"/>
  <cols>
    <col min="1" max="1" width="10.296875" style="1" customWidth="1"/>
    <col min="2" max="2" width="14" style="1" customWidth="1"/>
    <col min="3" max="3" width="3.09765625" style="1" customWidth="1"/>
    <col min="4" max="4" width="9.8984375" style="1" customWidth="1"/>
    <col min="5" max="5" width="3.09765625" style="1" customWidth="1"/>
    <col min="6" max="6" width="9.8984375" style="1" customWidth="1"/>
    <col min="7" max="7" width="3.09765625" style="1" customWidth="1"/>
    <col min="8" max="8" width="9.8984375" style="1" customWidth="1"/>
    <col min="9" max="9" width="3.09765625" style="1" customWidth="1"/>
    <col min="10" max="10" width="9.8984375" style="1" customWidth="1"/>
    <col min="11" max="11" width="3.09765625" style="1" customWidth="1"/>
    <col min="12" max="12" width="9.8984375" style="1" customWidth="1"/>
    <col min="13" max="13" width="3.09765625" style="1" customWidth="1"/>
    <col min="14" max="14" width="9.8984375" style="1" customWidth="1"/>
    <col min="15" max="16384" width="8.796875" style="1"/>
  </cols>
  <sheetData>
    <row r="5" spans="1:14" ht="16.2" x14ac:dyDescent="0.45">
      <c r="A5" s="439" t="s">
        <v>367</v>
      </c>
      <c r="B5" s="439"/>
      <c r="C5" s="439"/>
      <c r="D5" s="439"/>
      <c r="E5" s="439"/>
      <c r="F5" s="439"/>
      <c r="G5" s="439"/>
      <c r="H5" s="439"/>
      <c r="I5" s="439"/>
      <c r="J5" s="439"/>
      <c r="K5" s="439"/>
      <c r="L5" s="439"/>
      <c r="M5" s="439"/>
      <c r="N5" s="439"/>
    </row>
    <row r="6" spans="1:14" ht="14.4" x14ac:dyDescent="0.45">
      <c r="A6" s="279" t="s">
        <v>19</v>
      </c>
    </row>
    <row r="7" spans="1:14" ht="48" customHeight="1" x14ac:dyDescent="0.45">
      <c r="A7" s="269" t="s">
        <v>382</v>
      </c>
      <c r="B7" s="446" t="str">
        <f>入力フォーム!B146&amp;""</f>
        <v>電子回覧板アプリ導入に向けたアプリ使用講座</v>
      </c>
      <c r="C7" s="447"/>
      <c r="D7" s="447"/>
      <c r="E7" s="447"/>
      <c r="F7" s="447"/>
      <c r="G7" s="447"/>
      <c r="H7" s="447"/>
      <c r="I7" s="447"/>
      <c r="J7" s="447"/>
      <c r="K7" s="447"/>
      <c r="L7" s="447"/>
      <c r="M7" s="447"/>
      <c r="N7" s="448"/>
    </row>
    <row r="8" spans="1:14" ht="19.95" customHeight="1" x14ac:dyDescent="0.45">
      <c r="A8" s="441" t="s">
        <v>20</v>
      </c>
      <c r="B8" s="266" t="s">
        <v>34</v>
      </c>
      <c r="C8" s="274" t="str">
        <f>IF(入力フォーム!B154="☑", "☑","□")</f>
        <v>□</v>
      </c>
      <c r="D8" s="280" t="s">
        <v>23</v>
      </c>
      <c r="E8" s="281" t="str">
        <f>IF(入力フォーム!B155="☑", "☑","□")</f>
        <v>□</v>
      </c>
      <c r="F8" s="280" t="s">
        <v>24</v>
      </c>
      <c r="G8" s="281" t="str">
        <f>IF(入力フォーム!B156="☑", "☑","□")</f>
        <v>□</v>
      </c>
      <c r="H8" s="280" t="s">
        <v>25</v>
      </c>
      <c r="I8" s="281" t="str">
        <f>IF(入力フォーム!B157="☑", "☑","□")</f>
        <v>□</v>
      </c>
      <c r="J8" s="280" t="s">
        <v>26</v>
      </c>
      <c r="K8" s="281" t="str">
        <f>IF(入力フォーム!B158="☑", "☑","□")</f>
        <v>□</v>
      </c>
      <c r="L8" s="280" t="s">
        <v>27</v>
      </c>
      <c r="M8" s="281" t="str">
        <f>IF(入力フォーム!B159="☑", "☑","□")</f>
        <v>□</v>
      </c>
      <c r="N8" s="282" t="s">
        <v>28</v>
      </c>
    </row>
    <row r="9" spans="1:14" ht="19.95" customHeight="1" x14ac:dyDescent="0.45">
      <c r="A9" s="451"/>
      <c r="B9" s="267" t="s">
        <v>35</v>
      </c>
      <c r="C9" s="283" t="str">
        <f>IF(入力フォーム!B160="", "□","☑")</f>
        <v>□</v>
      </c>
      <c r="D9" s="284" t="s">
        <v>40</v>
      </c>
      <c r="E9" s="454" t="str">
        <f>IF(入力フォーム!F160="", "（　　　　　　　　　　　　　　　　　　　　　　　　　　　　　　　　　　　　　）", 入力フォーム!F160)</f>
        <v>（　　　　　　　　　　　　　　　　　　　　　　　　　　　　　　　　　　　　　）</v>
      </c>
      <c r="F9" s="454"/>
      <c r="G9" s="454"/>
      <c r="H9" s="454"/>
      <c r="I9" s="454"/>
      <c r="J9" s="454"/>
      <c r="K9" s="454"/>
      <c r="L9" s="454"/>
      <c r="M9" s="454"/>
      <c r="N9" s="455"/>
    </row>
    <row r="10" spans="1:14" ht="19.95" customHeight="1" x14ac:dyDescent="0.45">
      <c r="A10" s="451"/>
      <c r="B10" s="266"/>
      <c r="C10" s="274" t="str">
        <f>IF(入力フォーム!B161="☑", "☑","□")</f>
        <v>□</v>
      </c>
      <c r="D10" s="280" t="s">
        <v>41</v>
      </c>
      <c r="E10" s="281" t="str">
        <f>IF(入力フォーム!B162="☑", "☑","□")</f>
        <v>□</v>
      </c>
      <c r="F10" s="280" t="s">
        <v>42</v>
      </c>
      <c r="G10" s="281" t="str">
        <f>IF(入力フォーム!B163="☑", "☑","□")</f>
        <v>□</v>
      </c>
      <c r="H10" s="280" t="s">
        <v>43</v>
      </c>
      <c r="I10" s="281" t="str">
        <f>IF(入力フォーム!B164="☑", "☑","□")</f>
        <v>□</v>
      </c>
      <c r="J10" s="280" t="s">
        <v>44</v>
      </c>
      <c r="K10" s="281" t="str">
        <f>IF(入力フォーム!B165="☑", "☑","□")</f>
        <v>□</v>
      </c>
      <c r="L10" s="280" t="s">
        <v>45</v>
      </c>
      <c r="M10" s="281" t="str">
        <f>IF(入力フォーム!B166="☑", "☑","□")</f>
        <v>□</v>
      </c>
      <c r="N10" s="282" t="s">
        <v>46</v>
      </c>
    </row>
    <row r="11" spans="1:14" ht="19.95" customHeight="1" x14ac:dyDescent="0.45">
      <c r="A11" s="451"/>
      <c r="B11" s="268" t="s">
        <v>36</v>
      </c>
      <c r="C11" s="285" t="str">
        <f>IF(入力フォーム!B167="☑", "☑","□")</f>
        <v>□</v>
      </c>
      <c r="D11" s="262" t="s">
        <v>47</v>
      </c>
      <c r="E11" s="286" t="str">
        <f>IF(入力フォーム!B168="☑", "☑","□")</f>
        <v>□</v>
      </c>
      <c r="F11" s="450" t="s">
        <v>48</v>
      </c>
      <c r="G11" s="450"/>
      <c r="H11" s="450"/>
      <c r="I11" s="286" t="str">
        <f>IF(入力フォーム!B169="☑", "☑","□")</f>
        <v>□</v>
      </c>
      <c r="J11" s="262" t="s">
        <v>86</v>
      </c>
      <c r="K11" s="286" t="str">
        <f>IF(入力フォーム!B170="☑", "☑","□")</f>
        <v>□</v>
      </c>
      <c r="L11" s="262" t="s">
        <v>85</v>
      </c>
      <c r="M11" s="286" t="str">
        <f>IF(入力フォーム!B171="☑", "☑","□")</f>
        <v>□</v>
      </c>
      <c r="N11" s="263" t="s">
        <v>84</v>
      </c>
    </row>
    <row r="12" spans="1:14" ht="19.95" customHeight="1" x14ac:dyDescent="0.45">
      <c r="A12" s="451"/>
      <c r="B12" s="268" t="s">
        <v>37</v>
      </c>
      <c r="C12" s="285" t="str">
        <f>IF(入力フォーム!B172="☑", "☑","□")</f>
        <v>□</v>
      </c>
      <c r="D12" s="450" t="s">
        <v>109</v>
      </c>
      <c r="E12" s="450"/>
      <c r="F12" s="450"/>
      <c r="G12" s="286" t="str">
        <f>IF(入力フォーム!B173="☑", "☑","□")</f>
        <v>□</v>
      </c>
      <c r="H12" s="262" t="s">
        <v>108</v>
      </c>
      <c r="I12" s="286" t="str">
        <f>IF(入力フォーム!B174="☑", "☑","□")</f>
        <v>□</v>
      </c>
      <c r="J12" s="450" t="s">
        <v>49</v>
      </c>
      <c r="K12" s="450"/>
      <c r="L12" s="450"/>
      <c r="M12" s="262"/>
      <c r="N12" s="263"/>
    </row>
    <row r="13" spans="1:14" ht="19.95" customHeight="1" x14ac:dyDescent="0.45">
      <c r="A13" s="451"/>
      <c r="B13" s="267"/>
      <c r="C13" s="283" t="str">
        <f>IF(入力フォーム!B175="", "□","☑")</f>
        <v>□</v>
      </c>
      <c r="D13" s="284" t="s">
        <v>40</v>
      </c>
      <c r="E13" s="454" t="str">
        <f>IF(入力フォーム!F175="", "（　　　　　　　　　　　　　　　　　　　　　　　　　　　　　　　　　　　　　）", 入力フォーム!F175)</f>
        <v>（　　　　　　　　　　　　　　　　　　　　　　　　　　　　　　　　　　　　　）</v>
      </c>
      <c r="F13" s="454"/>
      <c r="G13" s="454"/>
      <c r="H13" s="454"/>
      <c r="I13" s="454"/>
      <c r="J13" s="454"/>
      <c r="K13" s="454"/>
      <c r="L13" s="454"/>
      <c r="M13" s="454"/>
      <c r="N13" s="455"/>
    </row>
    <row r="14" spans="1:14" ht="19.95" customHeight="1" x14ac:dyDescent="0.45">
      <c r="A14" s="451"/>
      <c r="B14" s="266" t="s">
        <v>29</v>
      </c>
      <c r="C14" s="274" t="str">
        <f>IF(入力フォーム!B176="☑", "☑","□")</f>
        <v>□</v>
      </c>
      <c r="D14" s="280" t="s">
        <v>50</v>
      </c>
      <c r="E14" s="281" t="str">
        <f>IF(入力フォーム!B177="☑", "☑","□")</f>
        <v>□</v>
      </c>
      <c r="F14" s="280" t="s">
        <v>51</v>
      </c>
      <c r="G14" s="281" t="str">
        <f>IF(入力フォーム!B178="☑", "☑","□")</f>
        <v>□</v>
      </c>
      <c r="H14" s="280" t="s">
        <v>52</v>
      </c>
      <c r="I14" s="281" t="str">
        <f>IF(入力フォーム!B179="☑", "☑","□")</f>
        <v>□</v>
      </c>
      <c r="J14" s="280" t="s">
        <v>53</v>
      </c>
      <c r="K14" s="281" t="str">
        <f>IF(入力フォーム!B180="☑", "☑","□")</f>
        <v>□</v>
      </c>
      <c r="L14" s="440" t="s">
        <v>54</v>
      </c>
      <c r="M14" s="440"/>
      <c r="N14" s="449"/>
    </row>
    <row r="15" spans="1:14" ht="19.95" customHeight="1" x14ac:dyDescent="0.45">
      <c r="A15" s="451"/>
      <c r="B15" s="267" t="s">
        <v>30</v>
      </c>
      <c r="C15" s="283" t="str">
        <f>IF(入力フォーム!B181="", "□","☑")</f>
        <v>□</v>
      </c>
      <c r="D15" s="284" t="s">
        <v>40</v>
      </c>
      <c r="E15" s="454" t="str">
        <f>IF(入力フォーム!F181="", "（　　　　　　　　　　　　　　　　　　　　　　　　　　　　　　　　　　　　　）", 入力フォーム!F181)</f>
        <v>（　　　　　　　　　　　　　　　　　　　　　　　　　　　　　　　　　　　　　）</v>
      </c>
      <c r="F15" s="454"/>
      <c r="G15" s="454"/>
      <c r="H15" s="454"/>
      <c r="I15" s="454"/>
      <c r="J15" s="454"/>
      <c r="K15" s="454"/>
      <c r="L15" s="454"/>
      <c r="M15" s="454"/>
      <c r="N15" s="455"/>
    </row>
    <row r="16" spans="1:14" ht="19.95" customHeight="1" x14ac:dyDescent="0.45">
      <c r="A16" s="451"/>
      <c r="B16" s="266" t="s">
        <v>38</v>
      </c>
      <c r="C16" s="274" t="str">
        <f>IF(入力フォーム!B182="☑", "☑","□")</f>
        <v>□</v>
      </c>
      <c r="D16" s="280" t="s">
        <v>55</v>
      </c>
      <c r="E16" s="281" t="str">
        <f>IF(入力フォーム!B183="☑", "☑","□")</f>
        <v>□</v>
      </c>
      <c r="F16" s="440" t="s">
        <v>56</v>
      </c>
      <c r="G16" s="440"/>
      <c r="H16" s="440"/>
      <c r="I16" s="280"/>
      <c r="J16" s="280"/>
      <c r="K16" s="280"/>
      <c r="L16" s="280"/>
      <c r="M16" s="280"/>
      <c r="N16" s="282"/>
    </row>
    <row r="17" spans="1:14" ht="19.95" customHeight="1" x14ac:dyDescent="0.45">
      <c r="A17" s="451"/>
      <c r="B17" s="267" t="s">
        <v>39</v>
      </c>
      <c r="C17" s="283" t="str">
        <f>IF(入力フォーム!B184="", "□","☑")</f>
        <v>□</v>
      </c>
      <c r="D17" s="284" t="s">
        <v>40</v>
      </c>
      <c r="E17" s="454" t="str">
        <f>IF(入力フォーム!F184="", "（　　　　　　　　　　　　　　　　　　　　　　　　　　　　　　　　　　　　　）", 入力フォーム!F184)</f>
        <v>（　　　　　　　　　　　　　　　　　　　　　　　　　　　　　　　　　　　　　）</v>
      </c>
      <c r="F17" s="454"/>
      <c r="G17" s="454"/>
      <c r="H17" s="454"/>
      <c r="I17" s="454"/>
      <c r="J17" s="454"/>
      <c r="K17" s="454"/>
      <c r="L17" s="454"/>
      <c r="M17" s="454"/>
      <c r="N17" s="455"/>
    </row>
    <row r="18" spans="1:14" ht="19.95" customHeight="1" x14ac:dyDescent="0.45">
      <c r="A18" s="451"/>
      <c r="B18" s="441" t="s">
        <v>21</v>
      </c>
      <c r="C18" s="274" t="str">
        <f>IF(入力フォーム!B185="☑", "☑","□")</f>
        <v>□</v>
      </c>
      <c r="D18" s="280" t="s">
        <v>57</v>
      </c>
      <c r="E18" s="281" t="str">
        <f>IF(入力フォーム!B186="☑", "☑","□")</f>
        <v>□</v>
      </c>
      <c r="F18" s="280" t="s">
        <v>58</v>
      </c>
      <c r="G18" s="281" t="str">
        <f>IF(入力フォーム!B187="☑", "☑","□")</f>
        <v>□</v>
      </c>
      <c r="H18" s="280" t="s">
        <v>59</v>
      </c>
      <c r="I18" s="281" t="str">
        <f>IF(入力フォーム!B188="☑", "☑","□")</f>
        <v>□</v>
      </c>
      <c r="J18" s="280" t="s">
        <v>60</v>
      </c>
      <c r="K18" s="280"/>
      <c r="L18" s="280"/>
      <c r="M18" s="280"/>
      <c r="N18" s="282"/>
    </row>
    <row r="19" spans="1:14" ht="19.95" customHeight="1" x14ac:dyDescent="0.45">
      <c r="A19" s="451"/>
      <c r="B19" s="442"/>
      <c r="C19" s="283" t="str">
        <f>IF(入力フォーム!B189="", "□","☑")</f>
        <v>□</v>
      </c>
      <c r="D19" s="284" t="s">
        <v>40</v>
      </c>
      <c r="E19" s="454" t="str">
        <f>IF(入力フォーム!F189="", "（　　　　　　　　　　　　　　　　　　　　　　　　　　　　　　　　　　　　　）", 入力フォーム!F189)</f>
        <v>（　　　　　　　　　　　　　　　　　　　　　　　　　　　　　　　　　　　　　）</v>
      </c>
      <c r="F19" s="454"/>
      <c r="G19" s="454"/>
      <c r="H19" s="454"/>
      <c r="I19" s="454"/>
      <c r="J19" s="454"/>
      <c r="K19" s="454"/>
      <c r="L19" s="454"/>
      <c r="M19" s="454"/>
      <c r="N19" s="455"/>
    </row>
    <row r="20" spans="1:14" ht="19.95" customHeight="1" x14ac:dyDescent="0.45">
      <c r="A20" s="451"/>
      <c r="B20" s="266" t="s">
        <v>31</v>
      </c>
      <c r="C20" s="274" t="str">
        <f>IF(入力フォーム!B190="☑", "☑","□")</f>
        <v>□</v>
      </c>
      <c r="D20" s="440" t="s">
        <v>61</v>
      </c>
      <c r="E20" s="440"/>
      <c r="F20" s="440"/>
      <c r="G20" s="281" t="str">
        <f>IF(入力フォーム!B191="☑", "☑","□")</f>
        <v>□</v>
      </c>
      <c r="H20" s="440" t="s">
        <v>62</v>
      </c>
      <c r="I20" s="440"/>
      <c r="J20" s="440"/>
      <c r="K20" s="281" t="str">
        <f>IF(入力フォーム!B192="☑", "☑","□")</f>
        <v>□</v>
      </c>
      <c r="L20" s="440" t="s">
        <v>63</v>
      </c>
      <c r="M20" s="440"/>
      <c r="N20" s="449"/>
    </row>
    <row r="21" spans="1:14" ht="19.95" customHeight="1" x14ac:dyDescent="0.45">
      <c r="A21" s="451"/>
      <c r="B21" s="267" t="s">
        <v>79</v>
      </c>
      <c r="C21" s="283" t="str">
        <f>IF(入力フォーム!B193="☑", "☑","□")</f>
        <v>□</v>
      </c>
      <c r="D21" s="284" t="s">
        <v>83</v>
      </c>
      <c r="E21" s="287" t="str">
        <f>IF(入力フォーム!B194="", "□","☑")</f>
        <v>□</v>
      </c>
      <c r="F21" s="284" t="s">
        <v>110</v>
      </c>
      <c r="G21" s="456" t="str">
        <f>IF(入力フォーム!F194="", "（　　　　 　　　　　　　　　　　　　　　　　　　　　　　　　　　　　）", 入力フォーム!F194)</f>
        <v>（　　　　 　　　　　　　　　　　　　　　　　　　　　　　　　　　　　）</v>
      </c>
      <c r="H21" s="456"/>
      <c r="I21" s="456"/>
      <c r="J21" s="456"/>
      <c r="K21" s="456"/>
      <c r="L21" s="456"/>
      <c r="M21" s="456"/>
      <c r="N21" s="457"/>
    </row>
    <row r="22" spans="1:14" ht="19.95" customHeight="1" x14ac:dyDescent="0.45">
      <c r="A22" s="451"/>
      <c r="B22" s="266" t="s">
        <v>32</v>
      </c>
      <c r="C22" s="274" t="str">
        <f>IF(入力フォーム!B195="☑", "☑","□")</f>
        <v>☑</v>
      </c>
      <c r="D22" s="440" t="s">
        <v>64</v>
      </c>
      <c r="E22" s="440"/>
      <c r="F22" s="440"/>
      <c r="G22" s="281" t="str">
        <f>IF(入力フォーム!B196="☑", "☑","□")</f>
        <v>□</v>
      </c>
      <c r="H22" s="440" t="s">
        <v>65</v>
      </c>
      <c r="I22" s="440"/>
      <c r="J22" s="440"/>
      <c r="K22" s="280"/>
      <c r="L22" s="280"/>
      <c r="M22" s="280"/>
      <c r="N22" s="282"/>
    </row>
    <row r="23" spans="1:14" ht="19.95" customHeight="1" x14ac:dyDescent="0.45">
      <c r="A23" s="442"/>
      <c r="B23" s="267" t="s">
        <v>33</v>
      </c>
      <c r="C23" s="283" t="str">
        <f>IF(入力フォーム!B197="", "□","☑")</f>
        <v>□</v>
      </c>
      <c r="D23" s="284" t="s">
        <v>40</v>
      </c>
      <c r="E23" s="454" t="str">
        <f>IF(入力フォーム!F197="", "（　　　　　　　　　　　　　　　　　　　　　　　　　　　　　　　　　　　　　）", 入力フォーム!F197)</f>
        <v>（　　　　　　　　　　　　　　　　　　　　　　　　　　　　　　　　　　　　　）</v>
      </c>
      <c r="F23" s="454"/>
      <c r="G23" s="454"/>
      <c r="H23" s="454"/>
      <c r="I23" s="454"/>
      <c r="J23" s="454"/>
      <c r="K23" s="454"/>
      <c r="L23" s="454"/>
      <c r="M23" s="454"/>
      <c r="N23" s="455"/>
    </row>
    <row r="24" spans="1:14" ht="47.4" customHeight="1" x14ac:dyDescent="0.45">
      <c r="A24" s="344" t="s">
        <v>426</v>
      </c>
      <c r="B24" s="458" t="str">
        <f>入力フォーム!B198&amp;""</f>
        <v>電子回覧板アプリの導入により、町会の活動内容を広くお知らせするとともに、より町会活動への参加者数増を図る。</v>
      </c>
      <c r="C24" s="459"/>
      <c r="D24" s="459"/>
      <c r="E24" s="459"/>
      <c r="F24" s="459"/>
      <c r="G24" s="459"/>
      <c r="H24" s="459"/>
      <c r="I24" s="459"/>
      <c r="J24" s="459"/>
      <c r="K24" s="459"/>
      <c r="L24" s="459"/>
      <c r="M24" s="459"/>
      <c r="N24" s="460"/>
    </row>
    <row r="25" spans="1:14" ht="47.4" customHeight="1" x14ac:dyDescent="0.45">
      <c r="A25" s="269" t="s">
        <v>81</v>
      </c>
      <c r="B25" s="461" t="str">
        <f>入力フォーム!B199&amp;""</f>
        <v>アプリ利用の習熟を促すため、講座にはスマートフォンの操作に慣れた会員複数名を受講者のサポート役として配置する。また、町会活動を広く知ってもらうため、近隣の中学校・高校にも周知を依頼する。</v>
      </c>
      <c r="C25" s="462"/>
      <c r="D25" s="462"/>
      <c r="E25" s="462"/>
      <c r="F25" s="462"/>
      <c r="G25" s="462"/>
      <c r="H25" s="462"/>
      <c r="I25" s="462"/>
      <c r="J25" s="462"/>
      <c r="K25" s="462"/>
      <c r="L25" s="462"/>
      <c r="M25" s="462"/>
      <c r="N25" s="463"/>
    </row>
    <row r="26" spans="1:14" ht="49.2" customHeight="1" x14ac:dyDescent="0.45">
      <c r="A26" s="265" t="s">
        <v>22</v>
      </c>
      <c r="B26" s="472" t="str">
        <f>入力フォーム!F200&amp;入力フォーム!F201&amp;入力フォーム!F202&amp;入力フォーム!F203&amp;入力フォーム!F204&amp;入力フォーム!F205&amp;""</f>
        <v>東京一丁目町会会館</v>
      </c>
      <c r="C26" s="470"/>
      <c r="D26" s="470"/>
      <c r="E26" s="470"/>
      <c r="F26" s="470"/>
      <c r="G26" s="470"/>
      <c r="H26" s="470"/>
      <c r="I26" s="471"/>
      <c r="J26" s="271" t="s">
        <v>381</v>
      </c>
      <c r="K26" s="272" t="s">
        <v>121</v>
      </c>
      <c r="L26" s="288" t="str">
        <f>TEXT(入力フォーム!B206&amp;"", "#,##0")</f>
        <v>30</v>
      </c>
      <c r="M26" s="273" t="s">
        <v>122</v>
      </c>
    </row>
    <row r="27" spans="1:14" ht="45.6" customHeight="1" x14ac:dyDescent="0.45">
      <c r="A27" s="452" t="s">
        <v>82</v>
      </c>
      <c r="B27" s="270" t="s">
        <v>78</v>
      </c>
      <c r="C27" s="464" t="str">
        <f>入力フォーム!F207&amp;入力フォーム!F208&amp;入力フォーム!F209&amp;入力フォーム!F210&amp;入力フォーム!F211&amp;入力フォーム!F212&amp;""</f>
        <v>10月18日</v>
      </c>
      <c r="D27" s="465"/>
      <c r="E27" s="465"/>
      <c r="F27" s="465"/>
      <c r="G27" s="465"/>
      <c r="H27" s="465"/>
      <c r="I27" s="465"/>
      <c r="J27" s="465"/>
      <c r="K27" s="465"/>
      <c r="L27" s="465"/>
      <c r="M27" s="465"/>
      <c r="N27" s="466"/>
    </row>
    <row r="28" spans="1:14" ht="45.6" customHeight="1" x14ac:dyDescent="0.45">
      <c r="A28" s="453"/>
      <c r="B28" s="83" t="s">
        <v>71</v>
      </c>
      <c r="C28" s="467" t="str">
        <f>入力フォーム!B213&amp;""</f>
        <v>雨天決行</v>
      </c>
      <c r="D28" s="468"/>
      <c r="E28" s="468"/>
      <c r="F28" s="468"/>
      <c r="G28" s="468"/>
      <c r="H28" s="468"/>
      <c r="I28" s="468"/>
      <c r="J28" s="468"/>
      <c r="K28" s="468"/>
      <c r="L28" s="468"/>
      <c r="M28" s="468"/>
      <c r="N28" s="469"/>
    </row>
    <row r="29" spans="1:14" ht="45.6" customHeight="1" x14ac:dyDescent="0.45">
      <c r="A29" s="453"/>
      <c r="B29" s="265" t="s">
        <v>87</v>
      </c>
      <c r="C29" s="443" t="str">
        <f>IF(入力フォーム!B214="", "", TEXT(入力フォーム!B214,"m月d日"))</f>
        <v>7月5日</v>
      </c>
      <c r="D29" s="444"/>
      <c r="E29" s="445"/>
      <c r="F29" s="271" t="s">
        <v>383</v>
      </c>
      <c r="G29" s="443" t="str">
        <f>IF(入力フォーム!B215="", "", TEXT(入力フォーム!B215,"m月d日"))</f>
        <v>11月1日</v>
      </c>
      <c r="H29" s="444"/>
      <c r="I29" s="445"/>
    </row>
    <row r="30" spans="1:14" ht="45.6" customHeight="1" x14ac:dyDescent="0.45">
      <c r="A30" s="453"/>
      <c r="B30" s="265" t="s">
        <v>80</v>
      </c>
      <c r="C30" s="274" t="s">
        <v>73</v>
      </c>
      <c r="D30" s="289" t="str">
        <f>入力フォーム!B216&amp;""</f>
        <v>3</v>
      </c>
      <c r="E30" s="275" t="s">
        <v>67</v>
      </c>
      <c r="F30" s="290" t="s">
        <v>384</v>
      </c>
      <c r="G30" s="274" t="s">
        <v>73</v>
      </c>
      <c r="H30" s="289" t="str">
        <f>TEXT(入力フォーム!B217&amp;"","#,##0")</f>
        <v>45</v>
      </c>
      <c r="I30" s="275" t="s">
        <v>66</v>
      </c>
      <c r="J30" s="72" t="s">
        <v>68</v>
      </c>
    </row>
    <row r="31" spans="1:14" ht="45.6" customHeight="1" x14ac:dyDescent="0.45">
      <c r="A31" s="453" t="s">
        <v>69</v>
      </c>
      <c r="B31" s="265" t="s">
        <v>74</v>
      </c>
      <c r="C31" s="292" t="str">
        <f>IF(入力フォーム!B218="☑", "☑","□")</f>
        <v>☑</v>
      </c>
      <c r="D31" s="293" t="s">
        <v>75</v>
      </c>
      <c r="E31" s="277" t="str">
        <f>IF(入力フォーム!B219="☑", "☑","□")</f>
        <v>□</v>
      </c>
      <c r="F31" s="293" t="s">
        <v>76</v>
      </c>
      <c r="G31" s="277" t="str">
        <f>IF(入力フォーム!B220="☑", "☑","□")</f>
        <v>☑</v>
      </c>
      <c r="H31" s="293" t="s">
        <v>77</v>
      </c>
      <c r="I31" s="277" t="str">
        <f>IF(入力フォーム!B221="☑", "☑","□")</f>
        <v>☑</v>
      </c>
      <c r="J31" s="294" t="s">
        <v>88</v>
      </c>
      <c r="K31" s="277" t="str">
        <f>IF(入力フォーム!B222="", "□","☑")</f>
        <v>□</v>
      </c>
      <c r="L31" s="277" t="s">
        <v>40</v>
      </c>
      <c r="M31" s="470" t="str">
        <f>IF(入力フォーム!F222="", "(　 　　 　)", 入力フォーム!F222)</f>
        <v>(　 　　 　)</v>
      </c>
      <c r="N31" s="471"/>
    </row>
    <row r="32" spans="1:14" ht="45.6" customHeight="1" x14ac:dyDescent="0.45">
      <c r="A32" s="453"/>
      <c r="B32" s="265" t="s">
        <v>70</v>
      </c>
      <c r="C32" s="2"/>
      <c r="D32" s="276" t="str">
        <f>入力フォーム!B223&amp;""</f>
        <v>令和７</v>
      </c>
      <c r="E32" s="277" t="s">
        <v>101</v>
      </c>
      <c r="F32" s="276" t="str">
        <f>DBCS(入力フォーム!B224)&amp;""</f>
        <v>９</v>
      </c>
      <c r="G32" s="277" t="s">
        <v>102</v>
      </c>
      <c r="H32" s="276" t="str">
        <f>入力フォーム!B225&amp;""</f>
        <v>上</v>
      </c>
      <c r="I32" s="277" t="s">
        <v>103</v>
      </c>
      <c r="J32" s="3"/>
      <c r="K32" s="3"/>
      <c r="L32" s="3"/>
      <c r="M32" s="3"/>
      <c r="N32" s="4"/>
    </row>
  </sheetData>
  <sheetProtection sheet="1" objects="1" scenarios="1"/>
  <mergeCells count="31">
    <mergeCell ref="E23:N23"/>
    <mergeCell ref="E9:N9"/>
    <mergeCell ref="D12:F12"/>
    <mergeCell ref="E13:N13"/>
    <mergeCell ref="E15:N15"/>
    <mergeCell ref="E17:N17"/>
    <mergeCell ref="L14:N14"/>
    <mergeCell ref="A31:A32"/>
    <mergeCell ref="B24:N24"/>
    <mergeCell ref="B25:N25"/>
    <mergeCell ref="C27:N27"/>
    <mergeCell ref="C28:N28"/>
    <mergeCell ref="C29:E29"/>
    <mergeCell ref="M31:N31"/>
    <mergeCell ref="B26:I26"/>
    <mergeCell ref="A5:N5"/>
    <mergeCell ref="H22:J22"/>
    <mergeCell ref="B18:B19"/>
    <mergeCell ref="G29:I29"/>
    <mergeCell ref="B7:N7"/>
    <mergeCell ref="D20:F20"/>
    <mergeCell ref="H20:J20"/>
    <mergeCell ref="L20:N20"/>
    <mergeCell ref="J12:L12"/>
    <mergeCell ref="F16:H16"/>
    <mergeCell ref="F11:H11"/>
    <mergeCell ref="D22:F22"/>
    <mergeCell ref="A8:A23"/>
    <mergeCell ref="A27:A30"/>
    <mergeCell ref="E19:N19"/>
    <mergeCell ref="G21:N21"/>
  </mergeCells>
  <phoneticPr fontId="1"/>
  <dataValidations count="1">
    <dataValidation allowBlank="1" showInputMessage="1" sqref="D32 F32 H32" xr:uid="{00000000-0002-0000-0400-000000000000}"/>
  </dataValidations>
  <printOptions horizontalCentered="1"/>
  <pageMargins left="0.31496062992125984" right="0.31496062992125984" top="0.39370078740157483" bottom="0.39370078740157483" header="0.31496062992125984" footer="0.31496062992125984"/>
  <pageSetup paperSize="9" scale="8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73"/>
  <sheetViews>
    <sheetView showGridLines="0" view="pageBreakPreview" zoomScaleNormal="100" zoomScaleSheetLayoutView="100" workbookViewId="0">
      <selection activeCell="I49" sqref="I49"/>
    </sheetView>
  </sheetViews>
  <sheetFormatPr defaultRowHeight="12" x14ac:dyDescent="0.45"/>
  <cols>
    <col min="1" max="1" width="0.69921875" style="32" customWidth="1"/>
    <col min="2" max="3" width="2" style="32" customWidth="1"/>
    <col min="4" max="4" width="3.3984375" style="32" customWidth="1"/>
    <col min="5" max="5" width="4.296875" style="32" customWidth="1"/>
    <col min="6" max="6" width="5.3984375" style="32" customWidth="1"/>
    <col min="7" max="7" width="45" style="32" customWidth="1"/>
    <col min="8" max="8" width="9.19921875" style="32" customWidth="1"/>
    <col min="9" max="9" width="8.796875" style="32" customWidth="1"/>
    <col min="10" max="10" width="12.3984375" style="32" customWidth="1"/>
    <col min="11" max="11" width="7.3984375" style="32" customWidth="1"/>
    <col min="12" max="16384" width="8.796875" style="32"/>
  </cols>
  <sheetData>
    <row r="1" spans="2:10" x14ac:dyDescent="0.45">
      <c r="B1" s="32" t="s">
        <v>129</v>
      </c>
    </row>
    <row r="2" spans="2:10" ht="6" customHeight="1" thickBot="1" x14ac:dyDescent="0.5"/>
    <row r="3" spans="2:10" ht="22.2" customHeight="1" thickBot="1" x14ac:dyDescent="0.5">
      <c r="B3" s="492" t="s">
        <v>130</v>
      </c>
      <c r="C3" s="493"/>
      <c r="D3" s="493"/>
      <c r="E3" s="493"/>
      <c r="F3" s="494"/>
      <c r="H3" s="33" t="s">
        <v>131</v>
      </c>
      <c r="I3" s="495" t="str">
        <f>入力フォーム!B2&amp;""</f>
        <v>東京一丁目町会</v>
      </c>
      <c r="J3" s="496"/>
    </row>
    <row r="4" spans="2:10" ht="12.6" thickBot="1" x14ac:dyDescent="0.2">
      <c r="J4" s="34" t="s">
        <v>132</v>
      </c>
    </row>
    <row r="5" spans="2:10" x14ac:dyDescent="0.45">
      <c r="B5" s="473" t="s">
        <v>133</v>
      </c>
      <c r="C5" s="474"/>
      <c r="D5" s="474"/>
      <c r="E5" s="474"/>
      <c r="F5" s="475"/>
      <c r="G5" s="476" t="s">
        <v>134</v>
      </c>
      <c r="H5" s="474"/>
      <c r="I5" s="474"/>
      <c r="J5" s="244" t="s">
        <v>135</v>
      </c>
    </row>
    <row r="6" spans="2:10" ht="5.4" customHeight="1" x14ac:dyDescent="0.45">
      <c r="B6" s="35"/>
      <c r="G6" s="477"/>
      <c r="H6" s="478"/>
      <c r="I6" s="478"/>
      <c r="J6" s="245"/>
    </row>
    <row r="7" spans="2:10" ht="12" customHeight="1" x14ac:dyDescent="0.45">
      <c r="B7" s="35" t="s">
        <v>136</v>
      </c>
      <c r="G7" s="479"/>
      <c r="H7" s="480"/>
      <c r="I7" s="480"/>
      <c r="J7" s="245"/>
    </row>
    <row r="8" spans="2:10" ht="12" customHeight="1" x14ac:dyDescent="0.45">
      <c r="B8" s="35"/>
      <c r="C8" s="36">
        <v>1</v>
      </c>
      <c r="D8" s="483" t="s">
        <v>137</v>
      </c>
      <c r="E8" s="483"/>
      <c r="F8" s="484"/>
      <c r="G8" s="485" t="s">
        <v>138</v>
      </c>
      <c r="H8" s="486"/>
      <c r="I8" s="486"/>
      <c r="J8" s="246" t="str">
        <f>IFERROR(TEXT(入力フォーム!B389&amp;"", "#,##0"),"")</f>
        <v>200,000</v>
      </c>
    </row>
    <row r="9" spans="2:10" ht="12" customHeight="1" x14ac:dyDescent="0.45">
      <c r="B9" s="35"/>
      <c r="C9" s="58"/>
      <c r="D9" s="487" t="s">
        <v>139</v>
      </c>
      <c r="E9" s="487"/>
      <c r="F9" s="488"/>
      <c r="G9" s="479"/>
      <c r="H9" s="489"/>
      <c r="I9" s="489"/>
      <c r="J9" s="247"/>
    </row>
    <row r="10" spans="2:10" ht="12" customHeight="1" x14ac:dyDescent="0.45">
      <c r="B10" s="35"/>
      <c r="C10" s="32">
        <v>2</v>
      </c>
      <c r="D10" s="481" t="s">
        <v>140</v>
      </c>
      <c r="E10" s="481"/>
      <c r="F10" s="482"/>
      <c r="G10" s="485" t="s">
        <v>141</v>
      </c>
      <c r="H10" s="486"/>
      <c r="I10" s="486"/>
      <c r="J10" s="248" t="str">
        <f>IFERROR(TEXT(入力フォーム!B388&amp;"", "#,##0"),"")</f>
        <v>62,400</v>
      </c>
    </row>
    <row r="11" spans="2:10" ht="12" customHeight="1" x14ac:dyDescent="0.45">
      <c r="B11" s="35"/>
      <c r="G11" s="479" t="str">
        <f>入力フォーム!B383&amp;""</f>
        <v/>
      </c>
      <c r="H11" s="480"/>
      <c r="I11" s="480"/>
      <c r="J11" s="248" t="str">
        <f>TEXT(入力フォーム!B384&amp;"", "#,##0")</f>
        <v/>
      </c>
    </row>
    <row r="12" spans="2:10" ht="12" customHeight="1" x14ac:dyDescent="0.45">
      <c r="B12" s="35"/>
      <c r="C12" s="37" t="s">
        <v>142</v>
      </c>
      <c r="D12" s="37"/>
      <c r="E12" s="37"/>
      <c r="F12" s="37"/>
      <c r="G12" s="497"/>
      <c r="H12" s="498"/>
      <c r="I12" s="498"/>
      <c r="J12" s="249">
        <f>IFERROR(J8+J10+IF(J11="",0,J11), "")</f>
        <v>262400</v>
      </c>
    </row>
    <row r="13" spans="2:10" x14ac:dyDescent="0.45">
      <c r="B13" s="499" t="s">
        <v>143</v>
      </c>
      <c r="C13" s="500"/>
      <c r="D13" s="500"/>
      <c r="E13" s="500"/>
      <c r="F13" s="501"/>
      <c r="G13" s="38" t="s">
        <v>443</v>
      </c>
      <c r="H13" s="39" t="s">
        <v>274</v>
      </c>
      <c r="I13" s="38" t="s">
        <v>145</v>
      </c>
      <c r="J13" s="250" t="s">
        <v>275</v>
      </c>
    </row>
    <row r="14" spans="2:10" ht="5.4" customHeight="1" x14ac:dyDescent="0.45">
      <c r="B14" s="35"/>
      <c r="G14" s="40"/>
      <c r="H14" s="41"/>
      <c r="I14" s="42"/>
      <c r="J14" s="245"/>
    </row>
    <row r="15" spans="2:10" ht="12" customHeight="1" x14ac:dyDescent="0.45">
      <c r="B15" s="35" t="s">
        <v>146</v>
      </c>
      <c r="G15" s="40"/>
      <c r="H15" s="41"/>
      <c r="I15" s="42"/>
      <c r="J15" s="245"/>
    </row>
    <row r="16" spans="2:10" ht="12" customHeight="1" x14ac:dyDescent="0.45">
      <c r="B16" s="35"/>
      <c r="C16" s="487" t="s">
        <v>147</v>
      </c>
      <c r="D16" s="487"/>
      <c r="E16" s="487"/>
      <c r="F16" s="488"/>
      <c r="G16" s="40"/>
      <c r="H16" s="41"/>
      <c r="I16" s="42"/>
      <c r="J16" s="245"/>
    </row>
    <row r="17" spans="2:10" ht="12" customHeight="1" x14ac:dyDescent="0.45">
      <c r="B17" s="35"/>
      <c r="C17" s="43"/>
      <c r="D17" s="44" t="s">
        <v>148</v>
      </c>
      <c r="E17" s="481" t="s">
        <v>149</v>
      </c>
      <c r="F17" s="482"/>
      <c r="G17" s="92" t="str">
        <f>入力フォーム!B227&amp;""</f>
        <v>講座講師謝礼</v>
      </c>
      <c r="H17" s="100" t="str">
        <f>IF(MOD(入力フォーム!B228,1)=0, TEXT(入力フォーム!B228&amp;"", "#,##0"), TEXT(入力フォーム!B228, "#,##0.00"))</f>
        <v>20,000</v>
      </c>
      <c r="I17" s="107" t="str">
        <f>TEXT(入力フォーム!B229&amp;"", "#,##0")</f>
        <v>2</v>
      </c>
      <c r="J17" s="246">
        <f>IFERROR(H17*IF(I17="一式", 1, I17),"")</f>
        <v>40000</v>
      </c>
    </row>
    <row r="18" spans="2:10" ht="12" customHeight="1" x14ac:dyDescent="0.45">
      <c r="B18" s="35"/>
      <c r="D18" s="45"/>
      <c r="G18" s="90" t="str">
        <f>入力フォーム!B230&amp;""</f>
        <v/>
      </c>
      <c r="H18" s="101" t="str">
        <f>IF(MOD(入力フォーム!B231,1)=0, TEXT(入力フォーム!B231&amp;"", "#,##0"), TEXT(入力フォーム!B231, "#,##0.00"))</f>
        <v/>
      </c>
      <c r="I18" s="108" t="str">
        <f>TEXT(入力フォーム!B232&amp;"", "#,##0")</f>
        <v/>
      </c>
      <c r="J18" s="248" t="str">
        <f t="shared" ref="J18:J24" si="0">IFERROR(H18*IF(I18="一式", 1, I18),"")</f>
        <v/>
      </c>
    </row>
    <row r="19" spans="2:10" ht="12" customHeight="1" x14ac:dyDescent="0.45">
      <c r="B19" s="35"/>
      <c r="D19" s="45"/>
      <c r="G19" s="90" t="str">
        <f>入力フォーム!B233&amp;""</f>
        <v/>
      </c>
      <c r="H19" s="101" t="str">
        <f>IF(MOD(入力フォーム!B234,1)=0, TEXT(入力フォーム!B234&amp;"", "#,##0"), TEXT(入力フォーム!B234, "#,##0.00"))</f>
        <v/>
      </c>
      <c r="I19" s="108" t="str">
        <f>TEXT(入力フォーム!B235&amp;"", "#,##0")</f>
        <v/>
      </c>
      <c r="J19" s="248" t="str">
        <f t="shared" si="0"/>
        <v/>
      </c>
    </row>
    <row r="20" spans="2:10" ht="12" customHeight="1" x14ac:dyDescent="0.45">
      <c r="B20" s="35"/>
      <c r="D20" s="45"/>
      <c r="E20" s="58"/>
      <c r="F20" s="58"/>
      <c r="G20" s="93" t="str">
        <f>入力フォーム!B236&amp;""</f>
        <v/>
      </c>
      <c r="H20" s="102" t="str">
        <f>IF(MOD(入力フォーム!B237,1)=0, TEXT(入力フォーム!B237&amp;"", "#,##0"), TEXT(入力フォーム!B237, "#,##0.00"))</f>
        <v/>
      </c>
      <c r="I20" s="109" t="str">
        <f>TEXT(入力フォーム!B238&amp;"", "#,##0")</f>
        <v/>
      </c>
      <c r="J20" s="247" t="str">
        <f t="shared" si="0"/>
        <v/>
      </c>
    </row>
    <row r="21" spans="2:10" ht="12" customHeight="1" x14ac:dyDescent="0.45">
      <c r="B21" s="35"/>
      <c r="D21" s="44" t="s">
        <v>150</v>
      </c>
      <c r="E21" s="481" t="s">
        <v>151</v>
      </c>
      <c r="F21" s="482"/>
      <c r="G21" s="90" t="str">
        <f>入力フォーム!B240&amp;""</f>
        <v/>
      </c>
      <c r="H21" s="101" t="str">
        <f>IF(MOD(入力フォーム!B241,1)=0, TEXT(入力フォーム!B241&amp;"", "#,##0"), TEXT(入力フォーム!B241, "#,##0.00"))</f>
        <v/>
      </c>
      <c r="I21" s="108" t="str">
        <f>TEXT(入力フォーム!B242&amp;"","#,##0")</f>
        <v/>
      </c>
      <c r="J21" s="248" t="str">
        <f t="shared" si="0"/>
        <v/>
      </c>
    </row>
    <row r="22" spans="2:10" ht="12" customHeight="1" x14ac:dyDescent="0.45">
      <c r="B22" s="35"/>
      <c r="D22" s="45"/>
      <c r="G22" s="90" t="str">
        <f>入力フォーム!B243&amp;""</f>
        <v/>
      </c>
      <c r="H22" s="101" t="str">
        <f>IF(MOD(入力フォーム!B244,1)=0, TEXT(入力フォーム!B244&amp;"", "#,##0"), TEXT(入力フォーム!B244, "#,##0.00"))</f>
        <v/>
      </c>
      <c r="I22" s="108" t="str">
        <f>TEXT(入力フォーム!B245&amp;"","#,##0")</f>
        <v/>
      </c>
      <c r="J22" s="248" t="str">
        <f t="shared" si="0"/>
        <v/>
      </c>
    </row>
    <row r="23" spans="2:10" ht="12" customHeight="1" x14ac:dyDescent="0.45">
      <c r="B23" s="35"/>
      <c r="D23" s="45"/>
      <c r="G23" s="90" t="str">
        <f>入力フォーム!B246&amp;""</f>
        <v/>
      </c>
      <c r="H23" s="101" t="str">
        <f>IF(MOD(入力フォーム!B247,1)=0, TEXT(入力フォーム!B247&amp;"", "#,##0"), TEXT(入力フォーム!B247, "#,##0.00"))</f>
        <v/>
      </c>
      <c r="I23" s="108" t="str">
        <f>TEXT(入力フォーム!B248&amp;"","#,##0")</f>
        <v/>
      </c>
      <c r="J23" s="248" t="str">
        <f t="shared" si="0"/>
        <v/>
      </c>
    </row>
    <row r="24" spans="2:10" ht="12" customHeight="1" x14ac:dyDescent="0.45">
      <c r="B24" s="35"/>
      <c r="D24" s="45"/>
      <c r="G24" s="90" t="str">
        <f>入力フォーム!B249&amp;""</f>
        <v/>
      </c>
      <c r="H24" s="101" t="str">
        <f>IF(MOD(入力フォーム!B250,1)=0, TEXT(入力フォーム!B250&amp;"", "#,##0"), TEXT(入力フォーム!B250, "#,##0.00"))</f>
        <v/>
      </c>
      <c r="I24" s="108" t="str">
        <f>TEXT(入力フォーム!B251&amp;"","#,##0")</f>
        <v/>
      </c>
      <c r="J24" s="248" t="str">
        <f t="shared" si="0"/>
        <v/>
      </c>
    </row>
    <row r="25" spans="2:10" ht="12" customHeight="1" x14ac:dyDescent="0.45">
      <c r="B25" s="35"/>
      <c r="D25" s="44" t="s">
        <v>152</v>
      </c>
      <c r="E25" s="481" t="s">
        <v>153</v>
      </c>
      <c r="F25" s="482"/>
      <c r="G25" s="92" t="str">
        <f>入力フォーム!B253&amp;""</f>
        <v>チラシ作成用プリンター</v>
      </c>
      <c r="H25" s="100" t="str">
        <f>IF(MOD(入力フォーム!B254,1)=0, TEXT(入力フォーム!B254&amp;"", "#,##0"), TEXT(入力フォーム!B254, "#,##0.00"))</f>
        <v>40,000</v>
      </c>
      <c r="I25" s="107" t="str">
        <f>TEXT(入力フォーム!B255&amp;"","#,##0")</f>
        <v>1</v>
      </c>
      <c r="J25" s="246">
        <f t="shared" ref="J25:J26" si="1">IFERROR(H25*IF(I25="一式", 1, I25),"")</f>
        <v>40000</v>
      </c>
    </row>
    <row r="26" spans="2:10" ht="12" customHeight="1" x14ac:dyDescent="0.45">
      <c r="B26" s="35"/>
      <c r="D26" s="45"/>
      <c r="G26" s="90" t="str">
        <f>入力フォーム!B256&amp;""</f>
        <v>講座資料投影用プロジェクター</v>
      </c>
      <c r="H26" s="101" t="str">
        <f>IF(MOD(入力フォーム!B257,1)=0, TEXT(入力フォーム!B257&amp;"", "#,##0"), TEXT(入力フォーム!B257, "#,##0.00"))</f>
        <v>45,000</v>
      </c>
      <c r="I26" s="108" t="str">
        <f>TEXT(入力フォーム!B258&amp;"","#,##0")</f>
        <v>1</v>
      </c>
      <c r="J26" s="248">
        <f t="shared" si="1"/>
        <v>45000</v>
      </c>
    </row>
    <row r="27" spans="2:10" ht="12" customHeight="1" x14ac:dyDescent="0.45">
      <c r="B27" s="35"/>
      <c r="D27" s="45"/>
      <c r="G27" s="90" t="str">
        <f>入力フォーム!B259&amp;""</f>
        <v>講座資料投影用ノートパソコン</v>
      </c>
      <c r="H27" s="101" t="str">
        <f>IF(MOD(入力フォーム!B260,1)=0, TEXT(入力フォーム!B260&amp;"", "#,##0"), TEXT(入力フォーム!B260, "#,##0.00"))</f>
        <v>100,000</v>
      </c>
      <c r="I27" s="108" t="str">
        <f>TEXT(入力フォーム!B261&amp;"","#,##0")</f>
        <v>1</v>
      </c>
      <c r="J27" s="248">
        <f>IFERROR(H27*IF(I27="一式", 1, I27),"")</f>
        <v>100000</v>
      </c>
    </row>
    <row r="28" spans="2:10" ht="12" customHeight="1" x14ac:dyDescent="0.45">
      <c r="B28" s="35"/>
      <c r="D28" s="45"/>
      <c r="G28" s="90" t="str">
        <f>入力フォーム!B262&amp;""</f>
        <v/>
      </c>
      <c r="H28" s="101" t="str">
        <f>IF(MOD(入力フォーム!B263,1)=0, TEXT(入力フォーム!B263&amp;"", "#,##0"), TEXT(入力フォーム!B263, "#,##0.00"))</f>
        <v/>
      </c>
      <c r="I28" s="108" t="str">
        <f>TEXT(入力フォーム!B264&amp;"","#,##0")</f>
        <v/>
      </c>
      <c r="J28" s="248" t="str">
        <f t="shared" ref="J28:J61" si="2">IFERROR(H28*IF(I28="一式", 1, I28),"")</f>
        <v/>
      </c>
    </row>
    <row r="29" spans="2:10" ht="12" customHeight="1" x14ac:dyDescent="0.45">
      <c r="B29" s="35"/>
      <c r="D29" s="45"/>
      <c r="G29" s="90" t="str">
        <f>入力フォーム!B265&amp;""</f>
        <v/>
      </c>
      <c r="H29" s="101" t="str">
        <f>IF(MOD(入力フォーム!B266,1)=0, TEXT(入力フォーム!B266&amp;"", "#,##0"), TEXT(入力フォーム!B266, "#,##0.00"))</f>
        <v/>
      </c>
      <c r="I29" s="108" t="str">
        <f>TEXT(入力フォーム!B267&amp;"","#,##0")</f>
        <v/>
      </c>
      <c r="J29" s="248" t="str">
        <f t="shared" si="2"/>
        <v/>
      </c>
    </row>
    <row r="30" spans="2:10" ht="12" customHeight="1" x14ac:dyDescent="0.45">
      <c r="B30" s="35"/>
      <c r="D30" s="45"/>
      <c r="G30" s="90" t="str">
        <f>入力フォーム!B268&amp;""</f>
        <v/>
      </c>
      <c r="H30" s="101" t="str">
        <f>IF(MOD(入力フォーム!B269,1)=0, TEXT(入力フォーム!B269&amp;"", "#,##0"), TEXT(入力フォーム!B269, "#,##0.00"))</f>
        <v/>
      </c>
      <c r="I30" s="108" t="str">
        <f>TEXT(入力フォーム!B270&amp;"","#,##0")</f>
        <v/>
      </c>
      <c r="J30" s="248" t="str">
        <f t="shared" si="2"/>
        <v/>
      </c>
    </row>
    <row r="31" spans="2:10" ht="12" customHeight="1" x14ac:dyDescent="0.45">
      <c r="B31" s="35"/>
      <c r="D31" s="45"/>
      <c r="G31" s="90" t="str">
        <f>入力フォーム!B271&amp;""</f>
        <v/>
      </c>
      <c r="H31" s="101" t="str">
        <f>IF(MOD(入力フォーム!B272,1)=0, TEXT(入力フォーム!B272&amp;"", "#,##0"), TEXT(入力フォーム!B272, "#,##0.00"))</f>
        <v/>
      </c>
      <c r="I31" s="108" t="str">
        <f>TEXT(入力フォーム!B273&amp;"","#,##0")</f>
        <v/>
      </c>
      <c r="J31" s="248" t="str">
        <f t="shared" si="2"/>
        <v/>
      </c>
    </row>
    <row r="32" spans="2:10" ht="12" customHeight="1" x14ac:dyDescent="0.45">
      <c r="B32" s="35"/>
      <c r="D32" s="45"/>
      <c r="G32" s="90" t="str">
        <f>入力フォーム!B274&amp;""</f>
        <v/>
      </c>
      <c r="H32" s="101" t="str">
        <f>IF(MOD(入力フォーム!B275,1)=0, TEXT(入力フォーム!B275&amp;"", "#,##0"), TEXT(入力フォーム!B275, "#,##0.00"))</f>
        <v/>
      </c>
      <c r="I32" s="108" t="str">
        <f>TEXT(入力フォーム!B276&amp;"","#,##0")</f>
        <v/>
      </c>
      <c r="J32" s="248" t="str">
        <f t="shared" si="2"/>
        <v/>
      </c>
    </row>
    <row r="33" spans="2:10" ht="12" customHeight="1" x14ac:dyDescent="0.45">
      <c r="B33" s="35"/>
      <c r="D33" s="45"/>
      <c r="G33" s="90" t="str">
        <f>入力フォーム!B277&amp;""</f>
        <v/>
      </c>
      <c r="H33" s="101" t="str">
        <f>IF(MOD(入力フォーム!B278,1)=0, TEXT(入力フォーム!B278&amp;"", "#,##0"), TEXT(入力フォーム!B278, "#,##0.00"))</f>
        <v/>
      </c>
      <c r="I33" s="108" t="str">
        <f>TEXT(入力フォーム!B279&amp;"","#,##0")</f>
        <v/>
      </c>
      <c r="J33" s="248" t="str">
        <f t="shared" si="2"/>
        <v/>
      </c>
    </row>
    <row r="34" spans="2:10" ht="12" customHeight="1" x14ac:dyDescent="0.45">
      <c r="B34" s="35"/>
      <c r="D34" s="45"/>
      <c r="G34" s="90" t="str">
        <f>入力フォーム!B280&amp;""</f>
        <v/>
      </c>
      <c r="H34" s="101" t="str">
        <f>IF(MOD(入力フォーム!B281,1)=0, TEXT(入力フォーム!B281&amp;"", "#,##0"), TEXT(入力フォーム!B281, "#,##0.00"))</f>
        <v/>
      </c>
      <c r="I34" s="108" t="str">
        <f>TEXT(入力フォーム!B282&amp;"","#,##0")</f>
        <v/>
      </c>
      <c r="J34" s="248" t="str">
        <f t="shared" si="2"/>
        <v/>
      </c>
    </row>
    <row r="35" spans="2:10" ht="12" customHeight="1" x14ac:dyDescent="0.45">
      <c r="B35" s="35"/>
      <c r="D35" s="45"/>
      <c r="G35" s="90" t="str">
        <f>入力フォーム!B283&amp;""</f>
        <v/>
      </c>
      <c r="H35" s="101" t="str">
        <f>IF(MOD(入力フォーム!B284,1)=0, TEXT(入力フォーム!B284&amp;"", "#,##0"), TEXT(入力フォーム!B284, "#,##0.00"))</f>
        <v/>
      </c>
      <c r="I35" s="108" t="str">
        <f>TEXT(入力フォーム!B285&amp;"","#,##0")</f>
        <v/>
      </c>
      <c r="J35" s="248" t="str">
        <f t="shared" si="2"/>
        <v/>
      </c>
    </row>
    <row r="36" spans="2:10" ht="12" customHeight="1" x14ac:dyDescent="0.45">
      <c r="B36" s="35"/>
      <c r="D36" s="45"/>
      <c r="G36" s="90" t="str">
        <f>入力フォーム!B286&amp;""</f>
        <v/>
      </c>
      <c r="H36" s="101" t="str">
        <f>IF(MOD(入力フォーム!B287,1)=0, TEXT(入力フォーム!B287&amp;"", "#,##0"), TEXT(入力フォーム!B287, "#,##0.00"))</f>
        <v/>
      </c>
      <c r="I36" s="108" t="str">
        <f>TEXT(入力フォーム!B288&amp;"","#,##0")</f>
        <v/>
      </c>
      <c r="J36" s="248" t="str">
        <f t="shared" si="2"/>
        <v/>
      </c>
    </row>
    <row r="37" spans="2:10" ht="12" customHeight="1" x14ac:dyDescent="0.45">
      <c r="B37" s="35"/>
      <c r="D37" s="45"/>
      <c r="G37" s="90" t="str">
        <f>入力フォーム!B289&amp;""</f>
        <v/>
      </c>
      <c r="H37" s="101" t="str">
        <f>IF(MOD(入力フォーム!B290,1)=0, TEXT(入力フォーム!B290&amp;"", "#,##0"), TEXT(入力フォーム!B290, "#,##0.00"))</f>
        <v/>
      </c>
      <c r="I37" s="108" t="str">
        <f>TEXT(入力フォーム!B291&amp;"","#,##0")</f>
        <v/>
      </c>
      <c r="J37" s="248" t="str">
        <f t="shared" si="2"/>
        <v/>
      </c>
    </row>
    <row r="38" spans="2:10" ht="12" customHeight="1" x14ac:dyDescent="0.45">
      <c r="B38" s="35"/>
      <c r="D38" s="45"/>
      <c r="G38" s="90" t="str">
        <f>入力フォーム!B292&amp;""</f>
        <v/>
      </c>
      <c r="H38" s="101" t="str">
        <f>IF(MOD(入力フォーム!B293,1)=0, TEXT(入力フォーム!B293&amp;"", "#,##0"), TEXT(入力フォーム!B293, "#,##0.00"))</f>
        <v/>
      </c>
      <c r="I38" s="108" t="str">
        <f>TEXT(入力フォーム!B294&amp;"","#,##0")</f>
        <v/>
      </c>
      <c r="J38" s="248" t="str">
        <f t="shared" si="2"/>
        <v/>
      </c>
    </row>
    <row r="39" spans="2:10" ht="12" customHeight="1" x14ac:dyDescent="0.45">
      <c r="B39" s="35"/>
      <c r="D39" s="45"/>
      <c r="G39" s="90" t="str">
        <f>入力フォーム!B295&amp;""</f>
        <v/>
      </c>
      <c r="H39" s="101" t="str">
        <f>IF(MOD(入力フォーム!B296,1)=0, TEXT(入力フォーム!B296&amp;"", "#,##0"), TEXT(入力フォーム!B296, "#,##0.00"))</f>
        <v/>
      </c>
      <c r="I39" s="108" t="str">
        <f>TEXT(入力フォーム!B297&amp;"","#,##0")</f>
        <v/>
      </c>
      <c r="J39" s="248" t="str">
        <f t="shared" si="2"/>
        <v/>
      </c>
    </row>
    <row r="40" spans="2:10" ht="12" customHeight="1" x14ac:dyDescent="0.45">
      <c r="B40" s="35"/>
      <c r="D40" s="45"/>
      <c r="G40" s="90" t="str">
        <f>入力フォーム!B298&amp;""</f>
        <v/>
      </c>
      <c r="H40" s="101" t="str">
        <f>IF(MOD(入力フォーム!B299,1)=0, TEXT(入力フォーム!B299&amp;"", "#,##0"), TEXT(入力フォーム!B299, "#,##0.00"))</f>
        <v/>
      </c>
      <c r="I40" s="108" t="str">
        <f>TEXT(入力フォーム!B300&amp;"","#,##0")</f>
        <v/>
      </c>
      <c r="J40" s="248" t="str">
        <f t="shared" si="2"/>
        <v/>
      </c>
    </row>
    <row r="41" spans="2:10" ht="12" customHeight="1" x14ac:dyDescent="0.45">
      <c r="B41" s="35"/>
      <c r="D41" s="45"/>
      <c r="E41" s="58"/>
      <c r="F41" s="58"/>
      <c r="G41" s="93" t="str">
        <f>入力フォーム!B301&amp;""</f>
        <v/>
      </c>
      <c r="H41" s="102" t="str">
        <f>IF(MOD(入力フォーム!B302,1)=0, TEXT(入力フォーム!B302&amp;"", "#,##0"), TEXT(入力フォーム!B302, "#,##0.00"))</f>
        <v/>
      </c>
      <c r="I41" s="109" t="str">
        <f>TEXT(入力フォーム!B303&amp;"","#,##0")</f>
        <v/>
      </c>
      <c r="J41" s="247" t="str">
        <f t="shared" si="2"/>
        <v/>
      </c>
    </row>
    <row r="42" spans="2:10" ht="12" customHeight="1" x14ac:dyDescent="0.45">
      <c r="B42" s="35"/>
      <c r="D42" s="44" t="s">
        <v>154</v>
      </c>
      <c r="E42" s="481" t="s">
        <v>155</v>
      </c>
      <c r="F42" s="482"/>
      <c r="G42" s="90" t="str">
        <f>入力フォーム!B305&amp;""</f>
        <v/>
      </c>
      <c r="H42" s="103" t="str">
        <f>IF(MOD(入力フォーム!B306,1)=0, TEXT(入力フォーム!B306&amp;"", "#,##0"), TEXT(入力フォーム!B306&amp;"", "#,##0.00"))</f>
        <v/>
      </c>
      <c r="I42" s="108" t="str">
        <f>TEXT(入力フォーム!B307&amp;"","#,##0")</f>
        <v/>
      </c>
      <c r="J42" s="248" t="str">
        <f t="shared" si="2"/>
        <v/>
      </c>
    </row>
    <row r="43" spans="2:10" ht="12" customHeight="1" x14ac:dyDescent="0.45">
      <c r="B43" s="35"/>
      <c r="D43" s="45"/>
      <c r="G43" s="90" t="str">
        <f>入力フォーム!B308&amp;""</f>
        <v/>
      </c>
      <c r="H43" s="101" t="str">
        <f>IF(MOD(入力フォーム!B309,1)=0, TEXT(入力フォーム!B309&amp;"", "#,##0"), TEXT(入力フォーム!B309, "#,##0.00"))</f>
        <v/>
      </c>
      <c r="I43" s="108" t="str">
        <f>TEXT(入力フォーム!B310&amp;"","#,##0")</f>
        <v/>
      </c>
      <c r="J43" s="248" t="str">
        <f t="shared" si="2"/>
        <v/>
      </c>
    </row>
    <row r="44" spans="2:10" ht="12" customHeight="1" x14ac:dyDescent="0.45">
      <c r="B44" s="35"/>
      <c r="D44" s="45"/>
      <c r="G44" s="90" t="str">
        <f>入力フォーム!B311&amp;""</f>
        <v/>
      </c>
      <c r="H44" s="101" t="str">
        <f>IF(MOD(入力フォーム!B312,1)=0, TEXT(入力フォーム!B312&amp;"", "#,##0"), TEXT(入力フォーム!B312, "#,##0.00"))</f>
        <v/>
      </c>
      <c r="I44" s="108" t="str">
        <f>TEXT(入力フォーム!B313&amp;"","#,##0")</f>
        <v/>
      </c>
      <c r="J44" s="248" t="str">
        <f t="shared" si="2"/>
        <v/>
      </c>
    </row>
    <row r="45" spans="2:10" ht="12" customHeight="1" x14ac:dyDescent="0.45">
      <c r="B45" s="35"/>
      <c r="D45" s="45"/>
      <c r="G45" s="90" t="str">
        <f>入力フォーム!B314&amp;""</f>
        <v/>
      </c>
      <c r="H45" s="101" t="str">
        <f>IF(MOD(入力フォーム!B315,1)=0, TEXT(入力フォーム!B315&amp;"", "#,##0"), TEXT(入力フォーム!B315, "#,##0.00"))</f>
        <v/>
      </c>
      <c r="I45" s="108" t="str">
        <f>TEXT(入力フォーム!B316&amp;"","#,##0")</f>
        <v/>
      </c>
      <c r="J45" s="248" t="str">
        <f t="shared" si="2"/>
        <v/>
      </c>
    </row>
    <row r="46" spans="2:10" ht="12" customHeight="1" x14ac:dyDescent="0.45">
      <c r="B46" s="35"/>
      <c r="D46" s="44" t="s">
        <v>156</v>
      </c>
      <c r="E46" s="481" t="s">
        <v>157</v>
      </c>
      <c r="F46" s="482"/>
      <c r="G46" s="92" t="str">
        <f>入力フォーム!B318&amp;""</f>
        <v/>
      </c>
      <c r="H46" s="100" t="str">
        <f>IF(MOD(入力フォーム!B319,1)=0, TEXT(入力フォーム!B319&amp;"", "#,##0"), TEXT(入力フォーム!B319, "#,##0.00"))</f>
        <v/>
      </c>
      <c r="I46" s="107" t="str">
        <f>TEXT(入力フォーム!B320&amp;"","#,##0")</f>
        <v/>
      </c>
      <c r="J46" s="246" t="str">
        <f t="shared" si="2"/>
        <v/>
      </c>
    </row>
    <row r="47" spans="2:10" ht="12" customHeight="1" x14ac:dyDescent="0.45">
      <c r="B47" s="35"/>
      <c r="D47" s="45"/>
      <c r="G47" s="90" t="str">
        <f>入力フォーム!B321&amp;""</f>
        <v/>
      </c>
      <c r="H47" s="101" t="str">
        <f>IF(MOD(入力フォーム!B322,1)=0, TEXT(入力フォーム!B322&amp;"", "#,##0"), TEXT(入力フォーム!B322, "#,##0.00"))</f>
        <v/>
      </c>
      <c r="I47" s="108" t="str">
        <f>TEXT(入力フォーム!B323&amp;"","#,##0")</f>
        <v/>
      </c>
      <c r="J47" s="248" t="str">
        <f t="shared" si="2"/>
        <v/>
      </c>
    </row>
    <row r="48" spans="2:10" ht="12" customHeight="1" x14ac:dyDescent="0.45">
      <c r="B48" s="35"/>
      <c r="D48" s="45"/>
      <c r="G48" s="90" t="str">
        <f>入力フォーム!B324&amp;""</f>
        <v/>
      </c>
      <c r="H48" s="101" t="str">
        <f>IF(MOD(入力フォーム!B325,1)=0, TEXT(入力フォーム!B325&amp;"", "#,##0"), TEXT(入力フォーム!B325, "#,##0.00"))</f>
        <v/>
      </c>
      <c r="I48" s="108" t="str">
        <f>TEXT(入力フォーム!B326&amp;"","#,##0")</f>
        <v/>
      </c>
      <c r="J48" s="248" t="str">
        <f t="shared" si="2"/>
        <v/>
      </c>
    </row>
    <row r="49" spans="2:10" ht="12" customHeight="1" x14ac:dyDescent="0.45">
      <c r="B49" s="35"/>
      <c r="D49" s="45"/>
      <c r="E49" s="58"/>
      <c r="F49" s="58"/>
      <c r="G49" s="93" t="str">
        <f>入力フォーム!B327&amp;""</f>
        <v/>
      </c>
      <c r="H49" s="102" t="str">
        <f>IF(MOD(入力フォーム!B328,1)=0, TEXT(入力フォーム!B328&amp;"", "#,##0"), TEXT(入力フォーム!B328, "#,##0.00"))</f>
        <v/>
      </c>
      <c r="I49" s="109" t="str">
        <f>TEXT(入力フォーム!B329&amp;"","#,##0")</f>
        <v/>
      </c>
      <c r="J49" s="247" t="str">
        <f t="shared" si="2"/>
        <v/>
      </c>
    </row>
    <row r="50" spans="2:10" ht="12" customHeight="1" x14ac:dyDescent="0.45">
      <c r="B50" s="35"/>
      <c r="D50" s="44" t="s">
        <v>158</v>
      </c>
      <c r="E50" s="481" t="s">
        <v>159</v>
      </c>
      <c r="F50" s="482"/>
      <c r="G50" s="90" t="str">
        <f>入力フォーム!B331&amp;""</f>
        <v/>
      </c>
      <c r="H50" s="101" t="str">
        <f>IF(MOD(入力フォーム!B332,1)=0, TEXT(入力フォーム!B332&amp;"", "#,##0"), TEXT(入力フォーム!B332, "#,##0.00"))</f>
        <v/>
      </c>
      <c r="I50" s="108" t="str">
        <f>TEXT(入力フォーム!B333&amp;"","#,##0")</f>
        <v/>
      </c>
      <c r="J50" s="248" t="str">
        <f t="shared" si="2"/>
        <v/>
      </c>
    </row>
    <row r="51" spans="2:10" ht="12" customHeight="1" x14ac:dyDescent="0.45">
      <c r="B51" s="35"/>
      <c r="D51" s="45"/>
      <c r="G51" s="90" t="str">
        <f>入力フォーム!B334&amp;""</f>
        <v/>
      </c>
      <c r="H51" s="101" t="str">
        <f>IF(MOD(入力フォーム!B335,1)=0, TEXT(入力フォーム!B335&amp;"", "#,##0"), TEXT(入力フォーム!B335, "#,##0.00"))</f>
        <v/>
      </c>
      <c r="I51" s="108" t="str">
        <f>TEXT(入力フォーム!B336&amp;"","#,##0")</f>
        <v/>
      </c>
      <c r="J51" s="248" t="str">
        <f t="shared" si="2"/>
        <v/>
      </c>
    </row>
    <row r="52" spans="2:10" ht="12" customHeight="1" x14ac:dyDescent="0.45">
      <c r="B52" s="35"/>
      <c r="D52" s="45"/>
      <c r="G52" s="90" t="str">
        <f>入力フォーム!B337&amp;""</f>
        <v/>
      </c>
      <c r="H52" s="101" t="str">
        <f>IF(MOD(入力フォーム!B338,1)=0, TEXT(入力フォーム!B338&amp;"", "#,##0"), TEXT(入力フォーム!B338, "#,##0.00"))</f>
        <v/>
      </c>
      <c r="I52" s="108" t="str">
        <f>TEXT(入力フォーム!B339&amp;"","#,##0")</f>
        <v/>
      </c>
      <c r="J52" s="248" t="str">
        <f t="shared" si="2"/>
        <v/>
      </c>
    </row>
    <row r="53" spans="2:10" ht="12" customHeight="1" x14ac:dyDescent="0.45">
      <c r="B53" s="35"/>
      <c r="D53" s="45"/>
      <c r="G53" s="90" t="str">
        <f>入力フォーム!B340&amp;""</f>
        <v/>
      </c>
      <c r="H53" s="101" t="str">
        <f>IF(MOD(入力フォーム!B341,1)=0, TEXT(入力フォーム!B341&amp;"", "#,##0"), TEXT(入力フォーム!B341, "#,##0.00"))</f>
        <v/>
      </c>
      <c r="I53" s="108" t="str">
        <f>TEXT(入力フォーム!B342&amp;"","#,##0")</f>
        <v/>
      </c>
      <c r="J53" s="248" t="str">
        <f t="shared" si="2"/>
        <v/>
      </c>
    </row>
    <row r="54" spans="2:10" ht="12" customHeight="1" x14ac:dyDescent="0.45">
      <c r="B54" s="35"/>
      <c r="D54" s="44" t="s">
        <v>160</v>
      </c>
      <c r="E54" s="481" t="s">
        <v>161</v>
      </c>
      <c r="F54" s="482"/>
      <c r="G54" s="92" t="str">
        <f>入力フォーム!B344&amp;""</f>
        <v>Wi-Fiルーター（講座当日利用分）</v>
      </c>
      <c r="H54" s="100" t="str">
        <f>IF(MOD(入力フォーム!B345,1)=0, TEXT(入力フォーム!B345&amp;"", "#,##0"), TEXT(入力フォーム!B345, "#,##0.00"))</f>
        <v>2,000</v>
      </c>
      <c r="I54" s="107" t="str">
        <f>TEXT(入力フォーム!B346&amp;"","#,##0")</f>
        <v>一式</v>
      </c>
      <c r="J54" s="246">
        <f t="shared" si="2"/>
        <v>2000</v>
      </c>
    </row>
    <row r="55" spans="2:10" ht="12" customHeight="1" x14ac:dyDescent="0.45">
      <c r="B55" s="35"/>
      <c r="D55" s="45"/>
      <c r="E55" s="490" t="s">
        <v>162</v>
      </c>
      <c r="F55" s="491"/>
      <c r="G55" s="90" t="str">
        <f>入力フォーム!B347&amp;""</f>
        <v/>
      </c>
      <c r="H55" s="101" t="str">
        <f>IF(MOD(入力フォーム!B348,1)=0, TEXT(入力フォーム!B348&amp;"", "#,##0"), TEXT(入力フォーム!B348, "#,##0.00"))</f>
        <v/>
      </c>
      <c r="I55" s="108" t="str">
        <f>TEXT(入力フォーム!B349&amp;"","#,##0")</f>
        <v/>
      </c>
      <c r="J55" s="248" t="str">
        <f t="shared" si="2"/>
        <v/>
      </c>
    </row>
    <row r="56" spans="2:10" ht="12" customHeight="1" x14ac:dyDescent="0.45">
      <c r="B56" s="35"/>
      <c r="D56" s="45"/>
      <c r="G56" s="90" t="str">
        <f>入力フォーム!B350&amp;""</f>
        <v/>
      </c>
      <c r="H56" s="101" t="str">
        <f>IF(MOD(入力フォーム!B351,1)=0, TEXT(入力フォーム!B351&amp;"", "#,##0"), TEXT(入力フォーム!B351, "#,##0.00"))</f>
        <v/>
      </c>
      <c r="I56" s="108" t="str">
        <f>TEXT(入力フォーム!B352&amp;"","#,##0")</f>
        <v/>
      </c>
      <c r="J56" s="248" t="str">
        <f t="shared" si="2"/>
        <v/>
      </c>
    </row>
    <row r="57" spans="2:10" ht="12" customHeight="1" x14ac:dyDescent="0.45">
      <c r="B57" s="35"/>
      <c r="D57" s="45"/>
      <c r="E57" s="58"/>
      <c r="F57" s="58"/>
      <c r="G57" s="93" t="str">
        <f>入力フォーム!B353&amp;""</f>
        <v/>
      </c>
      <c r="H57" s="102" t="str">
        <f>IF(MOD(入力フォーム!B354,1)=0, TEXT(入力フォーム!B354&amp;"", "#,##0"), TEXT(入力フォーム!B354, "#,##0.00"))</f>
        <v/>
      </c>
      <c r="I57" s="109" t="str">
        <f>TEXT(入力フォーム!B355&amp;"","#,##0")</f>
        <v/>
      </c>
      <c r="J57" s="247" t="str">
        <f t="shared" si="2"/>
        <v/>
      </c>
    </row>
    <row r="58" spans="2:10" ht="12" customHeight="1" x14ac:dyDescent="0.45">
      <c r="B58" s="35"/>
      <c r="D58" s="44" t="s">
        <v>163</v>
      </c>
      <c r="E58" s="481" t="s">
        <v>164</v>
      </c>
      <c r="F58" s="482"/>
      <c r="G58" s="90" t="str">
        <f>入力フォーム!B357&amp;""</f>
        <v/>
      </c>
      <c r="H58" s="101" t="str">
        <f>IF(MOD(入力フォーム!B358,1)=0, TEXT(入力フォーム!B358&amp;"", "#,##0"), TEXT(入力フォーム!B358, "#,##0.00"))</f>
        <v/>
      </c>
      <c r="I58" s="108" t="str">
        <f>TEXT(入力フォーム!B359&amp;"","#,##0")</f>
        <v/>
      </c>
      <c r="J58" s="248" t="str">
        <f t="shared" si="2"/>
        <v/>
      </c>
    </row>
    <row r="59" spans="2:10" ht="12" customHeight="1" x14ac:dyDescent="0.45">
      <c r="B59" s="35"/>
      <c r="D59" s="45"/>
      <c r="G59" s="90" t="str">
        <f>入力フォーム!B360&amp;""</f>
        <v/>
      </c>
      <c r="H59" s="101" t="str">
        <f>IF(MOD(入力フォーム!B361,1)=0, TEXT(入力フォーム!B361&amp;"", "#,##0"), TEXT(入力フォーム!B361, "#,##0.00"))</f>
        <v/>
      </c>
      <c r="I59" s="108" t="str">
        <f>TEXT(入力フォーム!B362&amp;"","#,##0")</f>
        <v/>
      </c>
      <c r="J59" s="248" t="str">
        <f t="shared" si="2"/>
        <v/>
      </c>
    </row>
    <row r="60" spans="2:10" ht="12" customHeight="1" x14ac:dyDescent="0.45">
      <c r="B60" s="35"/>
      <c r="D60" s="45"/>
      <c r="G60" s="90" t="str">
        <f>入力フォーム!B363&amp;""</f>
        <v/>
      </c>
      <c r="H60" s="101" t="str">
        <f>IF(MOD(入力フォーム!B364,1)=0, TEXT(入力フォーム!B364&amp;"", "#,##0"), TEXT(入力フォーム!B364, "#,##0.00"))</f>
        <v/>
      </c>
      <c r="I60" s="108" t="str">
        <f>TEXT(入力フォーム!B365&amp;"","#,##0")</f>
        <v/>
      </c>
      <c r="J60" s="248" t="str">
        <f t="shared" si="2"/>
        <v/>
      </c>
    </row>
    <row r="61" spans="2:10" ht="12" customHeight="1" x14ac:dyDescent="0.45">
      <c r="B61" s="35"/>
      <c r="D61" s="45"/>
      <c r="F61" s="22"/>
      <c r="G61" s="66" t="str">
        <f>入力フォーム!B366&amp;""</f>
        <v/>
      </c>
      <c r="H61" s="104" t="str">
        <f>IF(MOD(入力フォーム!B367,1)=0, TEXT(入力フォーム!B367&amp;"", "#,##0"), TEXT(入力フォーム!B367, "#,##0.00"))</f>
        <v/>
      </c>
      <c r="I61" s="104" t="str">
        <f>TEXT(入力フォーム!B368&amp;"","#,##0")</f>
        <v/>
      </c>
      <c r="J61" s="247" t="str">
        <f t="shared" si="2"/>
        <v/>
      </c>
    </row>
    <row r="62" spans="2:10" ht="12" customHeight="1" x14ac:dyDescent="0.45">
      <c r="B62" s="35"/>
      <c r="C62" s="43"/>
      <c r="D62" s="44"/>
      <c r="E62" s="46"/>
      <c r="F62" s="23"/>
      <c r="G62" s="105"/>
      <c r="H62" s="106"/>
      <c r="I62" s="25" t="s">
        <v>165</v>
      </c>
      <c r="J62" s="251">
        <f>IFERROR(IF(SUM(J17:J61)&lt;&gt;0,SUM(J17:J61),""),"")</f>
        <v>227000</v>
      </c>
    </row>
    <row r="63" spans="2:10" ht="12" customHeight="1" x14ac:dyDescent="0.45">
      <c r="B63" s="35"/>
      <c r="C63" s="481" t="s">
        <v>166</v>
      </c>
      <c r="D63" s="481"/>
      <c r="E63" s="481"/>
      <c r="F63" s="482"/>
      <c r="G63" s="90" t="str">
        <f>入力フォーム!B370&amp;""</f>
        <v>講座会場使用料</v>
      </c>
      <c r="H63" s="107" t="str">
        <f>IF(MOD(入力フォーム!B371,1)=0, TEXT(入力フォーム!B371&amp;"", "#,##0"), TEXT(入力フォーム!B371, "#,##0.00"))</f>
        <v>25,000</v>
      </c>
      <c r="I63" s="107" t="str">
        <f>TEXT(入力フォーム!B372&amp;"","#,##0")</f>
        <v>1</v>
      </c>
      <c r="J63" s="248">
        <f t="shared" ref="J63:J66" si="3">IFERROR(H63*IF(I63="一式", 1, I63),"")</f>
        <v>25000</v>
      </c>
    </row>
    <row r="64" spans="2:10" ht="12" customHeight="1" x14ac:dyDescent="0.45">
      <c r="B64" s="35"/>
      <c r="C64" s="160"/>
      <c r="D64" s="490" t="s">
        <v>167</v>
      </c>
      <c r="E64" s="490"/>
      <c r="F64" s="491"/>
      <c r="G64" s="32" t="str">
        <f>入力フォーム!B373&amp;""</f>
        <v>事務用品（A4コピー用紙1束、インクカートリッジ）</v>
      </c>
      <c r="H64" s="108" t="str">
        <f>IF(MOD(入力フォーム!B374,1)=0, TEXT(入力フォーム!B374&amp;"", "#,##0"), TEXT(入力フォーム!B374, "#,##0.00"))</f>
        <v>2,300</v>
      </c>
      <c r="I64" s="108" t="str">
        <f>TEXT(入力フォーム!B375&amp;"","#,##0")</f>
        <v>一式</v>
      </c>
      <c r="J64" s="248">
        <f t="shared" si="3"/>
        <v>2300</v>
      </c>
    </row>
    <row r="65" spans="2:10" ht="12" customHeight="1" x14ac:dyDescent="0.45">
      <c r="B65" s="35"/>
      <c r="G65" s="90" t="str">
        <f>入力フォーム!B376&amp;""</f>
        <v>打合せ・当日参加者用水分補給用飲料（500mlペットボトル）</v>
      </c>
      <c r="H65" s="108" t="str">
        <f>IF(MOD(入力フォーム!B377,1)=0, TEXT(入力フォーム!B377&amp;"", "#,##0"), TEXT(入力フォーム!B377, "#,##0.00"))</f>
        <v>108</v>
      </c>
      <c r="I65" s="108" t="str">
        <f>TEXT(入力フォーム!B378&amp;"","#,##0")</f>
        <v>75</v>
      </c>
      <c r="J65" s="248">
        <f t="shared" si="3"/>
        <v>8100</v>
      </c>
    </row>
    <row r="66" spans="2:10" ht="12" customHeight="1" x14ac:dyDescent="0.45">
      <c r="B66" s="35"/>
      <c r="F66" s="22"/>
      <c r="G66" s="66" t="str">
        <f>入力フォーム!B379&amp;""</f>
        <v/>
      </c>
      <c r="H66" s="67" t="str">
        <f>IF(MOD(入力フォーム!B380,1)=0, TEXT(入力フォーム!B380&amp;"", "#,##0"), TEXT(入力フォーム!B380, "#,##0.00"))</f>
        <v/>
      </c>
      <c r="I66" s="67" t="str">
        <f>TEXT(入力フォーム!B381&amp;"","#,##0")</f>
        <v/>
      </c>
      <c r="J66" s="247" t="str">
        <f t="shared" si="3"/>
        <v/>
      </c>
    </row>
    <row r="67" spans="2:10" ht="12" customHeight="1" x14ac:dyDescent="0.45">
      <c r="B67" s="35"/>
      <c r="C67" s="43"/>
      <c r="D67" s="43"/>
      <c r="E67" s="46"/>
      <c r="F67" s="26"/>
      <c r="G67" s="27"/>
      <c r="H67" s="24"/>
      <c r="I67" s="25" t="s">
        <v>168</v>
      </c>
      <c r="J67" s="251">
        <f>IF(入力フォーム!B369="いいえ",0,IF(入力フォーム!B369="はい",SUM(J63:J66),""))</f>
        <v>35400</v>
      </c>
    </row>
    <row r="68" spans="2:10" ht="5.4" customHeight="1" x14ac:dyDescent="0.45">
      <c r="B68" s="35"/>
      <c r="C68" s="43"/>
      <c r="D68" s="43"/>
      <c r="F68" s="28"/>
      <c r="G68" s="29"/>
      <c r="H68" s="30"/>
      <c r="I68" s="31"/>
      <c r="J68" s="248"/>
    </row>
    <row r="69" spans="2:10" ht="12" customHeight="1" x14ac:dyDescent="0.45">
      <c r="B69" s="35"/>
      <c r="C69" s="47" t="s">
        <v>169</v>
      </c>
      <c r="D69" s="47"/>
      <c r="E69" s="47"/>
      <c r="F69" s="47"/>
      <c r="G69" s="48"/>
      <c r="H69" s="49"/>
      <c r="I69" s="50" t="s">
        <v>170</v>
      </c>
      <c r="J69" s="252">
        <f>IF(SUM(J62,J67)&lt;&gt;0,SUM(J62,J67),"")</f>
        <v>262400</v>
      </c>
    </row>
    <row r="70" spans="2:10" ht="5.4" customHeight="1" x14ac:dyDescent="0.45">
      <c r="B70" s="35"/>
      <c r="G70" s="160"/>
      <c r="H70" s="51"/>
      <c r="I70" s="52"/>
      <c r="J70" s="248"/>
    </row>
    <row r="71" spans="2:10" ht="12" customHeight="1" x14ac:dyDescent="0.45">
      <c r="B71" s="35"/>
      <c r="C71" s="47" t="s">
        <v>171</v>
      </c>
      <c r="D71" s="47"/>
      <c r="E71" s="47"/>
      <c r="F71" s="47"/>
      <c r="G71" s="48"/>
      <c r="H71" s="49"/>
      <c r="I71" s="50"/>
      <c r="J71" s="252">
        <f>IFERROR(IF(J69="", "", J12-J69),"")</f>
        <v>0</v>
      </c>
    </row>
    <row r="72" spans="2:10" ht="5.4" customHeight="1" thickBot="1" x14ac:dyDescent="0.5">
      <c r="B72" s="53"/>
      <c r="C72" s="54"/>
      <c r="D72" s="54"/>
      <c r="E72" s="54"/>
      <c r="F72" s="54"/>
      <c r="G72" s="54"/>
      <c r="H72" s="54"/>
      <c r="I72" s="54"/>
      <c r="J72" s="253"/>
    </row>
    <row r="73" spans="2:10" ht="12.6" customHeight="1" x14ac:dyDescent="0.45">
      <c r="C73" s="32" t="s">
        <v>444</v>
      </c>
    </row>
  </sheetData>
  <sheetProtection sheet="1" objects="1" scenarios="1"/>
  <mergeCells count="27">
    <mergeCell ref="E58:F58"/>
    <mergeCell ref="C63:F63"/>
    <mergeCell ref="D64:F64"/>
    <mergeCell ref="B3:F3"/>
    <mergeCell ref="I3:J3"/>
    <mergeCell ref="E25:F25"/>
    <mergeCell ref="E42:F42"/>
    <mergeCell ref="E46:F46"/>
    <mergeCell ref="E50:F50"/>
    <mergeCell ref="E54:F54"/>
    <mergeCell ref="E55:F55"/>
    <mergeCell ref="G11:I11"/>
    <mergeCell ref="G12:I12"/>
    <mergeCell ref="B13:F13"/>
    <mergeCell ref="C16:F16"/>
    <mergeCell ref="E17:F17"/>
    <mergeCell ref="B5:F5"/>
    <mergeCell ref="G5:I5"/>
    <mergeCell ref="G6:I6"/>
    <mergeCell ref="G7:I7"/>
    <mergeCell ref="E21:F21"/>
    <mergeCell ref="D8:F8"/>
    <mergeCell ref="G8:I8"/>
    <mergeCell ref="D9:F9"/>
    <mergeCell ref="G9:I9"/>
    <mergeCell ref="D10:F10"/>
    <mergeCell ref="G10:I10"/>
  </mergeCells>
  <phoneticPr fontId="1"/>
  <conditionalFormatting sqref="H42">
    <cfRule type="expression" dxfId="64" priority="2">
      <formula>INDIRECT(ADDRESS(ROW(),COLUMN()))=TRUNC(INDIRECT(ADDRESS(ROW(),COLUMN())))</formula>
    </cfRule>
  </conditionalFormatting>
  <conditionalFormatting sqref="I43">
    <cfRule type="expression" dxfId="63" priority="1">
      <formula>INDIRECT(ADDRESS(ROW(),COLUMN()))=TRUNC(INDIRECT(ADDRESS(ROW(),COLUMN())))</formula>
    </cfRule>
  </conditionalFormatting>
  <dataValidations count="1">
    <dataValidation imeMode="off" allowBlank="1" showInputMessage="1" showErrorMessage="1" sqref="J63:J65 J69:J71 J14:J60" xr:uid="{00000000-0002-0000-0500-000000000000}"/>
  </dataValidations>
  <pageMargins left="0.59055118110236227" right="0.31496062992125984" top="0.23622047244094491" bottom="0.19685039370078741" header="0.11811023622047245" footer="0.11811023622047245"/>
  <pageSetup paperSize="9" scale="93" fitToHeight="0" orientation="portrait" r:id="rId1"/>
  <headerFooter alignWithMargins="0"/>
  <ignoredErrors>
    <ignoredError sqref="J62"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585D-9CA5-4782-B1C3-7B8AFD9F7D60}">
  <dimension ref="A2:C30"/>
  <sheetViews>
    <sheetView zoomScale="85" zoomScaleNormal="85" workbookViewId="0">
      <selection activeCell="B17" sqref="B17"/>
    </sheetView>
  </sheetViews>
  <sheetFormatPr defaultRowHeight="18" x14ac:dyDescent="0.45"/>
  <cols>
    <col min="1" max="1" width="50" customWidth="1"/>
    <col min="2" max="2" width="52.8984375" customWidth="1"/>
    <col min="3" max="3" width="55.796875" customWidth="1"/>
  </cols>
  <sheetData>
    <row r="2" spans="1:3" x14ac:dyDescent="0.45">
      <c r="A2" s="121" t="s">
        <v>293</v>
      </c>
      <c r="B2" s="382" t="str">
        <f>入力フォーム!B2&amp;""</f>
        <v>東京一丁目町会</v>
      </c>
      <c r="C2" t="s">
        <v>561</v>
      </c>
    </row>
    <row r="3" spans="1:3" x14ac:dyDescent="0.45">
      <c r="A3" s="121" t="s">
        <v>294</v>
      </c>
      <c r="B3" s="388" t="str">
        <f>入力フォーム!B3&amp;""</f>
        <v>単一</v>
      </c>
      <c r="C3" t="s">
        <v>561</v>
      </c>
    </row>
    <row r="4" spans="1:3" x14ac:dyDescent="0.45">
      <c r="A4" s="121" t="s">
        <v>312</v>
      </c>
      <c r="B4" s="383" t="str">
        <f>TEXT(入力フォーム!B4&amp;"","〒000-0000")</f>
        <v>〒111-0001</v>
      </c>
      <c r="C4" t="s">
        <v>561</v>
      </c>
    </row>
    <row r="5" spans="1:3" x14ac:dyDescent="0.45">
      <c r="A5" s="121" t="s">
        <v>313</v>
      </c>
      <c r="B5" s="382" t="str">
        <f>入力フォーム!B5&amp;""</f>
        <v>○○区△△１－２－１</v>
      </c>
      <c r="C5" t="s">
        <v>561</v>
      </c>
    </row>
    <row r="6" spans="1:3" x14ac:dyDescent="0.45">
      <c r="A6" s="121" t="s">
        <v>295</v>
      </c>
      <c r="B6" s="382" t="str">
        <f>入力フォーム!B6&amp;""</f>
        <v>会長</v>
      </c>
      <c r="C6" t="s">
        <v>561</v>
      </c>
    </row>
    <row r="7" spans="1:3" x14ac:dyDescent="0.45">
      <c r="A7" s="121" t="s">
        <v>296</v>
      </c>
      <c r="B7" s="382" t="str">
        <f>入力フォーム!B7&amp;""</f>
        <v>東京　太郎</v>
      </c>
      <c r="C7" t="s">
        <v>561</v>
      </c>
    </row>
    <row r="8" spans="1:3" x14ac:dyDescent="0.45">
      <c r="A8" s="121" t="s">
        <v>297</v>
      </c>
      <c r="B8" s="382" t="str">
        <f>入力フォーム!B8&amp;""</f>
        <v>03-5321-XXXX</v>
      </c>
      <c r="C8" t="s">
        <v>561</v>
      </c>
    </row>
    <row r="9" spans="1:3" x14ac:dyDescent="0.45">
      <c r="A9" s="121" t="s">
        <v>298</v>
      </c>
      <c r="B9" s="382" t="str">
        <f>入力フォーム!B9&amp;""</f>
        <v>副会長</v>
      </c>
      <c r="C9" t="s">
        <v>561</v>
      </c>
    </row>
    <row r="10" spans="1:3" x14ac:dyDescent="0.45">
      <c r="A10" s="121" t="s">
        <v>299</v>
      </c>
      <c r="B10" s="382" t="str">
        <f>入力フォーム!B10&amp;""</f>
        <v>新宿　花子</v>
      </c>
      <c r="C10" t="s">
        <v>561</v>
      </c>
    </row>
    <row r="11" spans="1:3" x14ac:dyDescent="0.45">
      <c r="A11" s="121" t="s">
        <v>314</v>
      </c>
      <c r="B11" s="382" t="str">
        <f>TEXT(入力フォーム!B11&amp;"","〒000-0000")</f>
        <v>〒111-0002</v>
      </c>
      <c r="C11" t="s">
        <v>561</v>
      </c>
    </row>
    <row r="12" spans="1:3" x14ac:dyDescent="0.45">
      <c r="A12" s="121" t="s">
        <v>315</v>
      </c>
      <c r="B12" s="382" t="str">
        <f>入力フォーム!B12&amp;""</f>
        <v>○○区△△３－２－１４</v>
      </c>
      <c r="C12" t="s">
        <v>561</v>
      </c>
    </row>
    <row r="13" spans="1:3" x14ac:dyDescent="0.45">
      <c r="A13" s="121" t="s">
        <v>447</v>
      </c>
      <c r="B13" s="382" t="str">
        <f>入力フォーム!B13&amp;""</f>
        <v>03-5321-YYYY</v>
      </c>
      <c r="C13" t="s">
        <v>561</v>
      </c>
    </row>
    <row r="14" spans="1:3" x14ac:dyDescent="0.45">
      <c r="A14" s="121" t="s">
        <v>448</v>
      </c>
      <c r="B14" s="382" t="str">
        <f>入力フォーム!B14&amp;""</f>
        <v>090-1234-ZZZZ</v>
      </c>
      <c r="C14" t="s">
        <v>561</v>
      </c>
    </row>
    <row r="15" spans="1:3" x14ac:dyDescent="0.45">
      <c r="A15" s="121" t="s">
        <v>300</v>
      </c>
      <c r="B15" s="382" t="str">
        <f>入力フォーム!B15&amp;""</f>
        <v>03-5321-ZZZZ</v>
      </c>
      <c r="C15" t="s">
        <v>561</v>
      </c>
    </row>
    <row r="16" spans="1:3" x14ac:dyDescent="0.45">
      <c r="A16" s="121" t="s">
        <v>301</v>
      </c>
      <c r="B16" s="382" t="str">
        <f>入力フォーム!B16&amp;""</f>
        <v>hanako-s@toooo.xxxx.jp</v>
      </c>
      <c r="C16" t="s">
        <v>561</v>
      </c>
    </row>
    <row r="17" spans="1:3" x14ac:dyDescent="0.45">
      <c r="A17" s="16" t="s">
        <v>333</v>
      </c>
      <c r="B17" s="384"/>
      <c r="C17" t="s">
        <v>562</v>
      </c>
    </row>
    <row r="18" spans="1:3" x14ac:dyDescent="0.45">
      <c r="A18" s="122" t="s">
        <v>503</v>
      </c>
      <c r="B18" s="388" t="str">
        <f>IF(入力フォーム!B41="有",入力フォーム!B146,"")</f>
        <v/>
      </c>
    </row>
    <row r="19" spans="1:3" x14ac:dyDescent="0.45">
      <c r="A19" s="121" t="s">
        <v>505</v>
      </c>
      <c r="B19" s="122" t="str">
        <f>IF(入力フォーム!B41="有",入力フォーム!B389,"")</f>
        <v/>
      </c>
    </row>
    <row r="20" spans="1:3" x14ac:dyDescent="0.45">
      <c r="A20" s="121" t="s">
        <v>504</v>
      </c>
      <c r="B20" s="122" t="str">
        <f>IF(入力フォーム!B41="有",ROUNDDOWN(B19*0.7,-3),"")</f>
        <v/>
      </c>
    </row>
    <row r="22" spans="1:3" x14ac:dyDescent="0.45">
      <c r="A22" t="s">
        <v>590</v>
      </c>
    </row>
    <row r="23" spans="1:3" x14ac:dyDescent="0.45">
      <c r="A23" s="354" t="s">
        <v>591</v>
      </c>
    </row>
    <row r="24" spans="1:3" x14ac:dyDescent="0.45">
      <c r="A24" s="354" t="s">
        <v>592</v>
      </c>
    </row>
    <row r="25" spans="1:3" x14ac:dyDescent="0.45">
      <c r="A25" s="354" t="s">
        <v>593</v>
      </c>
    </row>
    <row r="26" spans="1:3" x14ac:dyDescent="0.45">
      <c r="A26" t="s">
        <v>594</v>
      </c>
    </row>
    <row r="27" spans="1:3" x14ac:dyDescent="0.45">
      <c r="A27" s="354" t="s">
        <v>591</v>
      </c>
    </row>
    <row r="28" spans="1:3" x14ac:dyDescent="0.45">
      <c r="A28" s="354" t="s">
        <v>595</v>
      </c>
    </row>
    <row r="29" spans="1:3" x14ac:dyDescent="0.45">
      <c r="A29" s="354" t="s">
        <v>596</v>
      </c>
    </row>
    <row r="30" spans="1:3" x14ac:dyDescent="0.45">
      <c r="A30" s="354" t="s">
        <v>593</v>
      </c>
    </row>
  </sheetData>
  <sheetProtection sheet="1" objects="1" scenarios="1"/>
  <phoneticPr fontId="1"/>
  <conditionalFormatting sqref="A2:A17">
    <cfRule type="containsText" dxfId="62" priority="1" operator="containsText" text="↓">
      <formula>NOT(ISERROR(SEARCH("↓",A2)))</formula>
    </cfRule>
    <cfRule type="containsBlanks" dxfId="61" priority="2">
      <formula>LEN(TRIM(A2))=0</formula>
    </cfRule>
  </conditionalFormatting>
  <conditionalFormatting sqref="A19:A20">
    <cfRule type="containsText" dxfId="60" priority="3" operator="containsText" text="↓">
      <formula>NOT(ISERROR(SEARCH("↓",A19)))</formula>
    </cfRule>
    <cfRule type="containsBlanks" dxfId="59" priority="4">
      <formula>LEN(TRIM(A19))=0</formula>
    </cfRule>
  </conditionalFormatting>
  <dataValidations count="1">
    <dataValidation type="list" allowBlank="1" showInputMessage="1" showErrorMessage="1" sqref="B3" xr:uid="{68A24361-AF86-4889-BD51-0DC997C5A5F7}">
      <formula1>"単一,地区連,町自連,都町連"</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B9F0-BFB1-4546-BD04-08605A6F9E57}">
  <dimension ref="A5:I46"/>
  <sheetViews>
    <sheetView view="pageBreakPreview" topLeftCell="A9" zoomScaleNormal="100" zoomScaleSheetLayoutView="100" workbookViewId="0">
      <selection activeCell="D18" sqref="D18:F18"/>
    </sheetView>
  </sheetViews>
  <sheetFormatPr defaultRowHeight="13.2" x14ac:dyDescent="0.45"/>
  <cols>
    <col min="1" max="2" width="3.19921875" style="11" customWidth="1"/>
    <col min="3" max="3" width="7.296875" style="11" customWidth="1"/>
    <col min="4" max="4" width="15.5" style="11" customWidth="1"/>
    <col min="5" max="5" width="3.19921875" style="11" customWidth="1"/>
    <col min="6" max="6" width="13" style="11" customWidth="1"/>
    <col min="7" max="7" width="10.3984375" style="11" customWidth="1"/>
    <col min="8" max="8" width="30.8984375" style="11" customWidth="1"/>
    <col min="9" max="9" width="2.69921875" style="11" customWidth="1"/>
    <col min="10" max="13" width="9.5" style="11" customWidth="1"/>
    <col min="14" max="16384" width="8.796875" style="11"/>
  </cols>
  <sheetData>
    <row r="5" spans="1:9" x14ac:dyDescent="0.45">
      <c r="A5" s="10"/>
      <c r="B5" s="10"/>
      <c r="C5" s="10"/>
      <c r="D5" s="10"/>
      <c r="E5" s="10"/>
    </row>
    <row r="6" spans="1:9" ht="14.4" x14ac:dyDescent="0.45">
      <c r="A6" s="315" t="s">
        <v>493</v>
      </c>
      <c r="B6" s="12"/>
      <c r="C6" s="12"/>
      <c r="D6" s="12"/>
      <c r="E6" s="12"/>
    </row>
    <row r="8" spans="1:9" ht="14.4" x14ac:dyDescent="0.45">
      <c r="I8" s="74" t="s">
        <v>5</v>
      </c>
    </row>
    <row r="9" spans="1:9" ht="14.4" x14ac:dyDescent="0.45">
      <c r="A9" s="72" t="s">
        <v>2</v>
      </c>
    </row>
    <row r="10" spans="1:9" ht="15" thickBot="1" x14ac:dyDescent="0.5">
      <c r="G10" s="72"/>
      <c r="H10" s="72"/>
    </row>
    <row r="11" spans="1:9" ht="26.4" customHeight="1" thickBot="1" x14ac:dyDescent="0.5">
      <c r="B11" s="504" t="s">
        <v>11</v>
      </c>
      <c r="C11" s="505"/>
      <c r="D11" s="506" t="str">
        <f>概算払請求入力フォーム!B2&amp;""</f>
        <v>東京一丁目町会</v>
      </c>
      <c r="E11" s="506"/>
      <c r="F11" s="507"/>
      <c r="G11" s="331" t="s">
        <v>379</v>
      </c>
      <c r="H11" s="357" t="str">
        <f>概算払請求入力フォーム!B6&amp;"　"&amp;概算払請求入力フォーム!B7</f>
        <v>会長　東京　太郎</v>
      </c>
      <c r="I11" s="330" t="s">
        <v>14</v>
      </c>
    </row>
    <row r="12" spans="1:9" ht="13.2" customHeight="1" x14ac:dyDescent="0.45">
      <c r="B12" s="508" t="s">
        <v>12</v>
      </c>
      <c r="C12" s="509"/>
      <c r="D12" s="510" t="str">
        <f>IF(概算払請求入力フォーム!B4="", "〒", 概算払請求入力フォーム!B4)</f>
        <v>〒111-0001</v>
      </c>
      <c r="E12" s="510"/>
      <c r="F12" s="511"/>
      <c r="G12" s="419" t="s">
        <v>13</v>
      </c>
      <c r="H12" s="395" t="str">
        <f>概算払請求入力フォーム!B8&amp;""</f>
        <v>03-5321-XXXX</v>
      </c>
      <c r="I12" s="396"/>
    </row>
    <row r="13" spans="1:9" ht="13.2" customHeight="1" x14ac:dyDescent="0.45">
      <c r="B13" s="414"/>
      <c r="C13" s="420"/>
      <c r="D13" s="502" t="str">
        <f>概算払請求入力フォーム!B5&amp;""</f>
        <v>○○区△△１－２－１</v>
      </c>
      <c r="E13" s="502"/>
      <c r="F13" s="503"/>
      <c r="G13" s="420"/>
      <c r="H13" s="397"/>
      <c r="I13" s="398"/>
    </row>
    <row r="14" spans="1:9" ht="6.6" customHeight="1" x14ac:dyDescent="0.45">
      <c r="B14" s="335"/>
      <c r="C14" s="335"/>
      <c r="D14" s="335"/>
      <c r="E14" s="335"/>
      <c r="F14" s="323"/>
      <c r="G14" s="323"/>
      <c r="H14" s="323"/>
      <c r="I14" s="323"/>
    </row>
    <row r="15" spans="1:9" ht="13.2" customHeight="1" x14ac:dyDescent="0.45">
      <c r="B15" s="512" t="s">
        <v>404</v>
      </c>
      <c r="C15" s="512"/>
      <c r="D15" s="512"/>
      <c r="E15" s="512"/>
      <c r="F15" s="512"/>
      <c r="G15" s="512"/>
      <c r="H15" s="512"/>
      <c r="I15" s="512"/>
    </row>
    <row r="16" spans="1:9" ht="26.4" customHeight="1" x14ac:dyDescent="0.45">
      <c r="B16" s="513" t="s">
        <v>402</v>
      </c>
      <c r="C16" s="514"/>
      <c r="D16" s="515" t="str">
        <f>概算払請求入力フォーム!B9&amp;""</f>
        <v>副会長</v>
      </c>
      <c r="E16" s="515"/>
      <c r="F16" s="516"/>
      <c r="G16" s="291" t="s">
        <v>401</v>
      </c>
      <c r="H16" s="399" t="str">
        <f>概算払請求入力フォーム!B10&amp;""</f>
        <v>新宿　花子</v>
      </c>
      <c r="I16" s="400"/>
    </row>
    <row r="17" spans="1:9" ht="12.6" customHeight="1" x14ac:dyDescent="0.45">
      <c r="B17" s="517" t="s">
        <v>408</v>
      </c>
      <c r="C17" s="421"/>
      <c r="D17" s="520" t="str">
        <f>IF(概算払請求入力フォーム!B11="", "〒", 概算払請求入力フォーム!B11)</f>
        <v>〒111-0002</v>
      </c>
      <c r="E17" s="520"/>
      <c r="F17" s="521"/>
      <c r="G17" s="421" t="s">
        <v>445</v>
      </c>
      <c r="H17" s="522" t="str">
        <f>IF(AND(概算払請求入力フォーム!B13&lt;&gt;"",概算払請求入力フォーム!B14&lt;&gt;""),"①"&amp;概算払請求入力フォーム!B13&amp;"/②"&amp;概算払請求入力フォーム!B14,IF(AND(概算払請求入力フォーム!B13&lt;&gt;"",概算払請求入力フォーム!B14=""),"①"&amp;概算払請求入力フォーム!B13,IF(AND(概算払請求入力フォーム!B13="",概算払請求入力フォーム!B14&lt;&gt;""),"②"&amp;概算払請求入力フォーム!B14,"①　　　　　         　　　　　　　　　②")))</f>
        <v>①03-5321-YYYY/②090-1234-ZZZZ</v>
      </c>
      <c r="I17" s="523"/>
    </row>
    <row r="18" spans="1:9" ht="22.2" customHeight="1" x14ac:dyDescent="0.45">
      <c r="B18" s="518"/>
      <c r="C18" s="519"/>
      <c r="D18" s="512" t="str">
        <f>概算払請求入力フォーム!B12&amp;""</f>
        <v>○○区△△３－２－１４</v>
      </c>
      <c r="E18" s="512"/>
      <c r="F18" s="524"/>
      <c r="G18" s="420"/>
      <c r="H18" s="512"/>
      <c r="I18" s="524"/>
    </row>
    <row r="19" spans="1:9" ht="22.8" customHeight="1" x14ac:dyDescent="0.45">
      <c r="B19" s="527" t="s">
        <v>414</v>
      </c>
      <c r="C19" s="528"/>
      <c r="D19" s="529" t="str">
        <f>概算払請求入力フォーム!B15&amp;""</f>
        <v>03-5321-ZZZZ</v>
      </c>
      <c r="E19" s="529"/>
      <c r="F19" s="530"/>
      <c r="G19" s="331" t="s">
        <v>403</v>
      </c>
      <c r="H19" s="531" t="str">
        <f>概算払請求入力フォーム!B16&amp;""</f>
        <v>hanako-s@toooo.xxxx.jp</v>
      </c>
      <c r="I19" s="532"/>
    </row>
    <row r="20" spans="1:9" ht="13.2" customHeight="1" x14ac:dyDescent="0.45">
      <c r="F20" s="533" t="s">
        <v>18</v>
      </c>
      <c r="G20" s="533"/>
      <c r="H20" s="533"/>
      <c r="I20" s="533"/>
    </row>
    <row r="22" spans="1:9" ht="14.4" x14ac:dyDescent="0.45">
      <c r="A22" s="13" t="s">
        <v>494</v>
      </c>
      <c r="B22" s="13"/>
      <c r="C22" s="13"/>
      <c r="D22" s="13"/>
      <c r="E22" s="13"/>
      <c r="F22" s="14"/>
      <c r="G22" s="14"/>
      <c r="H22" s="14"/>
      <c r="I22" s="14"/>
    </row>
    <row r="24" spans="1:9" ht="14.4" x14ac:dyDescent="0.45">
      <c r="A24" s="534" t="str">
        <f>IF(概算払請求入力フォーム!B17="","令和　　年　　月　　日付けで交付決定通知のあった、令和７年度地域の底力発展事業助成金",DBCS(TEXT(概算払請求入力フォーム!B17,"ggge年m月d日"))&amp;"付けで交付決定通知のあった、令和７年度地域の底力発展事業助成金")</f>
        <v>令和　　年　　月　　日付けで交付決定通知のあった、令和７年度地域の底力発展事業助成金</v>
      </c>
      <c r="B24" s="534"/>
      <c r="C24" s="534"/>
      <c r="D24" s="534"/>
      <c r="E24" s="534"/>
      <c r="F24" s="534"/>
      <c r="G24" s="534"/>
      <c r="H24" s="534"/>
      <c r="I24" s="534"/>
    </row>
    <row r="25" spans="1:9" ht="14.4" x14ac:dyDescent="0.45">
      <c r="A25" s="72" t="s">
        <v>495</v>
      </c>
    </row>
    <row r="28" spans="1:9" ht="14.4" x14ac:dyDescent="0.45">
      <c r="A28" s="13" t="s">
        <v>4</v>
      </c>
      <c r="B28" s="14"/>
      <c r="C28" s="14"/>
      <c r="D28" s="14"/>
      <c r="E28" s="14"/>
      <c r="F28" s="13"/>
      <c r="G28" s="14"/>
      <c r="H28" s="14"/>
      <c r="I28" s="14"/>
    </row>
    <row r="29" spans="1:9" ht="14.4" x14ac:dyDescent="0.45">
      <c r="A29" s="72"/>
      <c r="B29" s="72"/>
      <c r="C29" s="72"/>
      <c r="D29" s="72"/>
      <c r="E29" s="72"/>
      <c r="F29" s="72"/>
      <c r="G29" s="72"/>
      <c r="H29" s="72"/>
      <c r="I29" s="72"/>
    </row>
    <row r="30" spans="1:9" ht="14.4" x14ac:dyDescent="0.45">
      <c r="A30" s="301" t="s">
        <v>6</v>
      </c>
      <c r="B30" s="279" t="s">
        <v>306</v>
      </c>
      <c r="C30" s="279"/>
      <c r="D30" s="279"/>
      <c r="E30" s="279"/>
      <c r="F30" s="72"/>
      <c r="G30" s="72"/>
      <c r="H30" s="72"/>
      <c r="I30" s="72"/>
    </row>
    <row r="31" spans="1:9" ht="24.6" customHeight="1" x14ac:dyDescent="0.45">
      <c r="A31" s="301"/>
      <c r="B31" s="525" t="str">
        <f>IF(概算払請求入力フォーム!B20="","",概算払請求入力フォーム!B18)</f>
        <v/>
      </c>
      <c r="C31" s="525"/>
      <c r="D31" s="525"/>
      <c r="E31" s="525"/>
      <c r="F31" s="525"/>
      <c r="G31" s="525"/>
      <c r="H31" s="525"/>
      <c r="I31" s="525"/>
    </row>
    <row r="32" spans="1:9" ht="13.2" customHeight="1" x14ac:dyDescent="0.45">
      <c r="A32" s="72"/>
      <c r="B32" s="72"/>
      <c r="C32" s="72"/>
      <c r="D32" s="72"/>
      <c r="E32" s="72"/>
      <c r="F32" s="72"/>
      <c r="G32" s="72"/>
      <c r="H32" s="72"/>
      <c r="I32" s="72"/>
    </row>
    <row r="33" spans="1:9" ht="14.4" x14ac:dyDescent="0.45">
      <c r="A33" s="301" t="s">
        <v>7</v>
      </c>
      <c r="B33" s="279" t="s">
        <v>496</v>
      </c>
      <c r="C33" s="279"/>
      <c r="D33" s="279"/>
      <c r="E33" s="279"/>
      <c r="F33" s="303"/>
      <c r="G33" s="72"/>
      <c r="H33" s="72"/>
      <c r="I33" s="72"/>
    </row>
    <row r="34" spans="1:9" ht="24.6" customHeight="1" x14ac:dyDescent="0.45">
      <c r="A34" s="72"/>
      <c r="B34" s="526" t="str">
        <f>IF(概算払請求入力フォーム!B20="","金　　　　　　　　　　　　円","金"&amp;第１号様式!E43&amp;"円")</f>
        <v>金　　　　　　　　　　　　円</v>
      </c>
      <c r="C34" s="526"/>
      <c r="D34" s="526"/>
      <c r="E34" s="526"/>
      <c r="F34" s="72"/>
      <c r="G34" s="72"/>
      <c r="H34" s="72"/>
      <c r="I34" s="295"/>
    </row>
    <row r="35" spans="1:9" ht="13.2" customHeight="1" x14ac:dyDescent="0.45">
      <c r="A35" s="72"/>
      <c r="B35" s="72"/>
      <c r="C35" s="72"/>
      <c r="D35" s="72"/>
      <c r="E35" s="72"/>
      <c r="F35" s="72"/>
      <c r="G35" s="72"/>
      <c r="H35" s="72"/>
      <c r="I35" s="72"/>
    </row>
    <row r="36" spans="1:9" ht="14.4" x14ac:dyDescent="0.45">
      <c r="A36" s="301" t="s">
        <v>8</v>
      </c>
      <c r="B36" s="279" t="s">
        <v>497</v>
      </c>
      <c r="C36" s="279"/>
      <c r="D36" s="279"/>
      <c r="E36" s="279"/>
      <c r="F36" s="317"/>
      <c r="G36" s="72"/>
      <c r="H36" s="72"/>
      <c r="I36" s="72"/>
    </row>
    <row r="37" spans="1:9" ht="24.6" customHeight="1" x14ac:dyDescent="0.45">
      <c r="A37" s="301"/>
      <c r="B37" s="526" t="str">
        <f>IF(概算払請求入力フォーム!B20="","金　　　　　　　　　　　　円","金"&amp;DBCS(TEXT(概算払請求入力フォーム!B20,"#,##0"))&amp;"円")</f>
        <v>金　　　　　　　　　　　　円</v>
      </c>
      <c r="C37" s="526"/>
      <c r="D37" s="526"/>
      <c r="E37" s="526"/>
      <c r="F37" s="355"/>
      <c r="G37" s="355"/>
      <c r="H37" s="355"/>
      <c r="I37" s="355"/>
    </row>
    <row r="38" spans="1:9" ht="13.2" customHeight="1" x14ac:dyDescent="0.45">
      <c r="A38" s="72"/>
      <c r="B38" s="72"/>
      <c r="C38" s="72"/>
      <c r="D38" s="72"/>
      <c r="E38" s="72"/>
      <c r="F38" s="72"/>
      <c r="G38" s="72"/>
      <c r="H38" s="72"/>
      <c r="I38" s="72"/>
    </row>
    <row r="39" spans="1:9" ht="14.4" x14ac:dyDescent="0.45">
      <c r="A39" s="301"/>
      <c r="B39" s="279"/>
      <c r="C39" s="279"/>
      <c r="D39" s="279"/>
      <c r="E39" s="279"/>
      <c r="F39" s="295"/>
      <c r="G39" s="72"/>
      <c r="H39" s="72"/>
      <c r="I39" s="72"/>
    </row>
    <row r="40" spans="1:9" ht="14.4" x14ac:dyDescent="0.45">
      <c r="A40" s="72"/>
      <c r="B40" s="72"/>
      <c r="C40" s="72"/>
      <c r="D40" s="72"/>
      <c r="E40" s="72"/>
      <c r="F40" s="72"/>
      <c r="G40" s="72"/>
      <c r="H40" s="72"/>
      <c r="I40" s="72"/>
    </row>
    <row r="43" spans="1:9" x14ac:dyDescent="0.45">
      <c r="A43" s="20"/>
      <c r="B43" s="21"/>
      <c r="C43" s="21"/>
      <c r="D43" s="21"/>
      <c r="E43" s="21"/>
    </row>
    <row r="44" spans="1:9" x14ac:dyDescent="0.45">
      <c r="F44" s="161"/>
    </row>
    <row r="45" spans="1:9" x14ac:dyDescent="0.45">
      <c r="F45" s="161"/>
    </row>
    <row r="46" spans="1:9" x14ac:dyDescent="0.45">
      <c r="B46" s="15"/>
      <c r="C46" s="15"/>
      <c r="D46" s="15"/>
      <c r="E46" s="15"/>
    </row>
  </sheetData>
  <sheetProtection sheet="1" objects="1" scenarios="1"/>
  <dataConsolidate/>
  <mergeCells count="24">
    <mergeCell ref="B31:I31"/>
    <mergeCell ref="B34:E34"/>
    <mergeCell ref="B37:E37"/>
    <mergeCell ref="B19:C19"/>
    <mergeCell ref="D19:F19"/>
    <mergeCell ref="H19:I19"/>
    <mergeCell ref="F20:I20"/>
    <mergeCell ref="A24:I24"/>
    <mergeCell ref="B15:I15"/>
    <mergeCell ref="B16:C16"/>
    <mergeCell ref="D16:F16"/>
    <mergeCell ref="H16:I16"/>
    <mergeCell ref="B17:C18"/>
    <mergeCell ref="D17:F17"/>
    <mergeCell ref="G17:G18"/>
    <mergeCell ref="H17:I18"/>
    <mergeCell ref="D18:F18"/>
    <mergeCell ref="H12:I13"/>
    <mergeCell ref="D13:F13"/>
    <mergeCell ref="B11:C11"/>
    <mergeCell ref="D11:F11"/>
    <mergeCell ref="B12:C13"/>
    <mergeCell ref="D12:F12"/>
    <mergeCell ref="G12:G13"/>
  </mergeCells>
  <phoneticPr fontId="1"/>
  <pageMargins left="0.51181102362204722" right="0.51181102362204722" top="0.39370078740157483" bottom="0.39370078740157483" header="0.31496062992125984" footer="0.31496062992125984"/>
  <pageSetup paperSize="9" scale="95" orientation="portrait" r:id="rId1"/>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20</vt:i4>
      </vt:variant>
    </vt:vector>
  </HeadingPairs>
  <TitlesOfParts>
    <vt:vector size="38" baseType="lpstr">
      <vt:lpstr>必ずお読みください</vt:lpstr>
      <vt:lpstr>入力フォーム</vt:lpstr>
      <vt:lpstr>第１号様式</vt:lpstr>
      <vt:lpstr>チェックシート</vt:lpstr>
      <vt:lpstr>第１号様式別紙</vt:lpstr>
      <vt:lpstr>第２号様式</vt:lpstr>
      <vt:lpstr>収支予算書</vt:lpstr>
      <vt:lpstr>概算払請求入力フォーム</vt:lpstr>
      <vt:lpstr>第６号様式</vt:lpstr>
      <vt:lpstr>変更申請入力フォーム</vt:lpstr>
      <vt:lpstr>第７号様式</vt:lpstr>
      <vt:lpstr>積算明細書</vt:lpstr>
      <vt:lpstr>実績入力フォーム</vt:lpstr>
      <vt:lpstr>第10号様式</vt:lpstr>
      <vt:lpstr>決算書</vt:lpstr>
      <vt:lpstr>実績報告内容確認書C区分</vt:lpstr>
      <vt:lpstr>実績報告内容確認書D区分</vt:lpstr>
      <vt:lpstr>第12号様式</vt:lpstr>
      <vt:lpstr>「地域防災力の強化」かつ「多文化共生社会づくり」につながる活動を行いますか</vt:lpstr>
      <vt:lpstr>第10号様式!OLE_LINK15</vt:lpstr>
      <vt:lpstr>第12号様式!OLE_LINK15</vt:lpstr>
      <vt:lpstr>第１号様式!OLE_LINK15</vt:lpstr>
      <vt:lpstr>第６号様式!OLE_LINK15</vt:lpstr>
      <vt:lpstr>第７号様式!OLE_LINK15</vt:lpstr>
      <vt:lpstr>決算書!Print_Area</vt:lpstr>
      <vt:lpstr>実績報告内容確認書C区分!Print_Area</vt:lpstr>
      <vt:lpstr>収支予算書!Print_Area</vt:lpstr>
      <vt:lpstr>積算明細書!Print_Area</vt:lpstr>
      <vt:lpstr>第10号様式!Print_Area</vt:lpstr>
      <vt:lpstr>第12号様式!Print_Area</vt:lpstr>
      <vt:lpstr>第１号様式!Print_Area</vt:lpstr>
      <vt:lpstr>第１号様式別紙!Print_Area</vt:lpstr>
      <vt:lpstr>第２号様式!Print_Area</vt:lpstr>
      <vt:lpstr>第６号様式!Print_Area</vt:lpstr>
      <vt:lpstr>第７号様式!Print_Area</vt:lpstr>
      <vt:lpstr>今回申請する区分は何ですか</vt:lpstr>
      <vt:lpstr>今回申請する区分は初めてですか</vt:lpstr>
      <vt:lpstr>助成率</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町田　智</cp:lastModifiedBy>
  <cp:lastPrinted>2025-02-10T14:00:38Z</cp:lastPrinted>
  <dcterms:created xsi:type="dcterms:W3CDTF">2024-10-21T02:34:29Z</dcterms:created>
  <dcterms:modified xsi:type="dcterms:W3CDTF">2025-02-13T05:11:04Z</dcterms:modified>
</cp:coreProperties>
</file>